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ЭтаКнига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O:\Департаменты\12. Департамент управления бизнесом\12.16. Общая\2. Щитовое оборудование\Кокорев\Alesta\Мастер шелл\Ексель подборщик\для 1 С\"/>
    </mc:Choice>
  </mc:AlternateContent>
  <xr:revisionPtr revIDLastSave="0" documentId="13_ncr:1_{ECBE9FB9-83A1-458F-A200-51F32D5EA874}" xr6:coauthVersionLast="47" xr6:coauthVersionMax="47" xr10:uidLastSave="{00000000-0000-0000-0000-000000000000}"/>
  <bookViews>
    <workbookView xWindow="-120" yWindow="-120" windowWidth="29040" windowHeight="15840" xr2:uid="{EF7F325F-310F-4B04-A4E9-35EF33729584}"/>
  </bookViews>
  <sheets>
    <sheet name="Конфигуратор" sheetId="19" r:id="rId1"/>
    <sheet name="Спецификация" sheetId="21" r:id="rId2"/>
    <sheet name="Прайс" sheetId="20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21" l="1"/>
  <c r="D7" i="21"/>
  <c r="D8" i="21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98" i="21"/>
  <c r="D99" i="21"/>
  <c r="D100" i="21"/>
  <c r="D101" i="21"/>
  <c r="D102" i="21"/>
  <c r="D103" i="21"/>
  <c r="D104" i="21"/>
  <c r="D105" i="21"/>
  <c r="D106" i="21"/>
  <c r="D107" i="21"/>
  <c r="D108" i="21"/>
  <c r="D109" i="21"/>
  <c r="D110" i="21"/>
  <c r="D111" i="21"/>
  <c r="D112" i="21"/>
  <c r="D113" i="21"/>
  <c r="D114" i="21"/>
  <c r="D115" i="21"/>
  <c r="D116" i="21"/>
  <c r="D117" i="21"/>
  <c r="D118" i="21"/>
  <c r="D119" i="21"/>
  <c r="D120" i="21"/>
  <c r="D121" i="21"/>
  <c r="D122" i="21"/>
  <c r="D123" i="21"/>
  <c r="D124" i="21"/>
  <c r="D125" i="21"/>
  <c r="D126" i="21"/>
  <c r="D127" i="21"/>
  <c r="D128" i="21"/>
  <c r="D129" i="21"/>
  <c r="D130" i="21"/>
  <c r="D143" i="21"/>
  <c r="D144" i="21"/>
  <c r="D145" i="21"/>
  <c r="D146" i="21"/>
  <c r="D147" i="21"/>
  <c r="D148" i="21"/>
  <c r="D149" i="21"/>
  <c r="D150" i="21"/>
  <c r="D151" i="21"/>
  <c r="D152" i="21"/>
  <c r="AZ161" i="19"/>
  <c r="AZ162" i="19"/>
  <c r="AK162" i="19"/>
  <c r="AZ168" i="19"/>
  <c r="AW168" i="19"/>
  <c r="AQ164" i="19"/>
  <c r="AK166" i="19"/>
  <c r="AK165" i="19"/>
  <c r="AZ104" i="19"/>
  <c r="AZ103" i="19"/>
  <c r="AZ102" i="19"/>
  <c r="AW104" i="19"/>
  <c r="AW103" i="19"/>
  <c r="AW102" i="19"/>
  <c r="AT104" i="19"/>
  <c r="AT103" i="19"/>
  <c r="AT102" i="19"/>
  <c r="AQ104" i="19"/>
  <c r="AQ103" i="19"/>
  <c r="AQ102" i="19"/>
  <c r="AN104" i="19"/>
  <c r="AN103" i="19"/>
  <c r="AN102" i="19"/>
  <c r="AK104" i="19"/>
  <c r="AK103" i="19"/>
  <c r="AK102" i="19"/>
  <c r="D191" i="21"/>
  <c r="D192" i="21"/>
  <c r="O162" i="19"/>
  <c r="E155" i="19"/>
  <c r="E154" i="19"/>
  <c r="E153" i="19"/>
  <c r="E152" i="19"/>
  <c r="E151" i="19"/>
  <c r="E150" i="19"/>
  <c r="E156" i="19"/>
  <c r="F156" i="19" l="1"/>
  <c r="D23" i="19"/>
  <c r="F151" i="19"/>
  <c r="F152" i="19"/>
  <c r="F153" i="19"/>
  <c r="F154" i="19"/>
  <c r="F155" i="19"/>
  <c r="F150" i="19"/>
  <c r="H156" i="19" l="1"/>
  <c r="E56" i="21" l="1"/>
  <c r="E57" i="21"/>
  <c r="E58" i="21"/>
  <c r="E59" i="21"/>
  <c r="E60" i="21"/>
  <c r="E61" i="21"/>
  <c r="E62" i="21"/>
  <c r="E63" i="21"/>
  <c r="AK41" i="19"/>
  <c r="AK40" i="19"/>
  <c r="AZ45" i="19"/>
  <c r="AZ46" i="19"/>
  <c r="AZ47" i="19"/>
  <c r="AZ44" i="19"/>
  <c r="AZ41" i="19"/>
  <c r="AZ42" i="19"/>
  <c r="AZ43" i="19"/>
  <c r="AZ40" i="19"/>
  <c r="AW45" i="19"/>
  <c r="AW46" i="19"/>
  <c r="AW47" i="19"/>
  <c r="AW44" i="19"/>
  <c r="AW40" i="19"/>
  <c r="AW41" i="19"/>
  <c r="AW42" i="19"/>
  <c r="AW43" i="19"/>
  <c r="AT45" i="19"/>
  <c r="AT46" i="19"/>
  <c r="AT47" i="19"/>
  <c r="AT44" i="19"/>
  <c r="AT41" i="19"/>
  <c r="AT42" i="19"/>
  <c r="AT43" i="19"/>
  <c r="AT40" i="19"/>
  <c r="AQ45" i="19"/>
  <c r="AQ46" i="19"/>
  <c r="AQ47" i="19"/>
  <c r="AQ44" i="19"/>
  <c r="AQ41" i="19"/>
  <c r="AQ42" i="19"/>
  <c r="AQ43" i="19"/>
  <c r="AQ40" i="19"/>
  <c r="AN45" i="19"/>
  <c r="AN46" i="19"/>
  <c r="AN47" i="19"/>
  <c r="AN44" i="19"/>
  <c r="AN41" i="19"/>
  <c r="AN42" i="19"/>
  <c r="AN43" i="19"/>
  <c r="AN40" i="19"/>
  <c r="AK45" i="19"/>
  <c r="AK46" i="19"/>
  <c r="AK47" i="19"/>
  <c r="AK44" i="19"/>
  <c r="C60" i="21" s="1"/>
  <c r="AK42" i="19"/>
  <c r="AK43" i="19"/>
  <c r="C152" i="21"/>
  <c r="E152" i="21"/>
  <c r="C62" i="21" l="1"/>
  <c r="F62" i="21" s="1"/>
  <c r="C63" i="21"/>
  <c r="F63" i="21" s="1"/>
  <c r="C61" i="21"/>
  <c r="F61" i="21" s="1"/>
  <c r="C56" i="21"/>
  <c r="F56" i="21" s="1"/>
  <c r="C57" i="21"/>
  <c r="F57" i="21" s="1"/>
  <c r="C58" i="21"/>
  <c r="F58" i="21" s="1"/>
  <c r="F60" i="21"/>
  <c r="C59" i="21"/>
  <c r="F59" i="21" s="1"/>
  <c r="F152" i="21"/>
  <c r="C145" i="20"/>
  <c r="C146" i="20"/>
  <c r="C147" i="20"/>
  <c r="C144" i="20"/>
  <c r="C24" i="21"/>
  <c r="C130" i="21"/>
  <c r="C129" i="21"/>
  <c r="E177" i="21"/>
  <c r="E178" i="21"/>
  <c r="D177" i="21"/>
  <c r="D178" i="21"/>
  <c r="C177" i="21"/>
  <c r="C178" i="21"/>
  <c r="C155" i="21"/>
  <c r="D21" i="19"/>
  <c r="D154" i="21"/>
  <c r="E11" i="19"/>
  <c r="D155" i="21"/>
  <c r="D5" i="21"/>
  <c r="E5" i="21"/>
  <c r="A156" i="21"/>
  <c r="B156" i="21" s="1"/>
  <c r="E156" i="21" s="1"/>
  <c r="C156" i="21"/>
  <c r="A157" i="21"/>
  <c r="B157" i="21" s="1"/>
  <c r="E157" i="21" s="1"/>
  <c r="C157" i="21"/>
  <c r="A158" i="21"/>
  <c r="B158" i="21" s="1"/>
  <c r="E158" i="21" s="1"/>
  <c r="C158" i="21"/>
  <c r="A159" i="21"/>
  <c r="B159" i="21" s="1"/>
  <c r="E159" i="21" s="1"/>
  <c r="C159" i="21"/>
  <c r="A160" i="21"/>
  <c r="B160" i="21" s="1"/>
  <c r="D160" i="21" s="1"/>
  <c r="C160" i="21"/>
  <c r="A161" i="21"/>
  <c r="B161" i="21" s="1"/>
  <c r="E161" i="21" s="1"/>
  <c r="C161" i="21"/>
  <c r="A162" i="21"/>
  <c r="B162" i="21" s="1"/>
  <c r="E162" i="21" s="1"/>
  <c r="C162" i="21"/>
  <c r="A163" i="21"/>
  <c r="B163" i="21" s="1"/>
  <c r="E163" i="21" s="1"/>
  <c r="C163" i="21"/>
  <c r="A164" i="21"/>
  <c r="B164" i="21" s="1"/>
  <c r="E164" i="21" s="1"/>
  <c r="C164" i="21"/>
  <c r="A165" i="21"/>
  <c r="B165" i="21" s="1"/>
  <c r="E165" i="21" s="1"/>
  <c r="C165" i="21"/>
  <c r="A166" i="21"/>
  <c r="B166" i="21" s="1"/>
  <c r="E166" i="21" s="1"/>
  <c r="C166" i="21"/>
  <c r="A167" i="21"/>
  <c r="B167" i="21" s="1"/>
  <c r="D167" i="21" s="1"/>
  <c r="C167" i="21"/>
  <c r="A168" i="21"/>
  <c r="B168" i="21" s="1"/>
  <c r="E168" i="21" s="1"/>
  <c r="C168" i="21"/>
  <c r="A169" i="21"/>
  <c r="B169" i="21" s="1"/>
  <c r="E169" i="21" s="1"/>
  <c r="C169" i="21"/>
  <c r="A170" i="21"/>
  <c r="B170" i="21" s="1"/>
  <c r="E170" i="21" s="1"/>
  <c r="C170" i="21"/>
  <c r="A171" i="21"/>
  <c r="B171" i="21" s="1"/>
  <c r="E171" i="21" s="1"/>
  <c r="C171" i="21"/>
  <c r="A172" i="21"/>
  <c r="B172" i="21" s="1"/>
  <c r="E172" i="21" s="1"/>
  <c r="C172" i="21"/>
  <c r="A173" i="21"/>
  <c r="B173" i="21" s="1"/>
  <c r="E173" i="21" s="1"/>
  <c r="C173" i="21"/>
  <c r="A174" i="21"/>
  <c r="B174" i="21" s="1"/>
  <c r="E174" i="21" s="1"/>
  <c r="C174" i="21"/>
  <c r="A175" i="21"/>
  <c r="B175" i="21" s="1"/>
  <c r="E175" i="21" s="1"/>
  <c r="C175" i="21"/>
  <c r="A176" i="21"/>
  <c r="B176" i="21" s="1"/>
  <c r="E176" i="21" s="1"/>
  <c r="C176" i="21"/>
  <c r="E154" i="21"/>
  <c r="J138" i="20"/>
  <c r="K138" i="20"/>
  <c r="L138" i="20"/>
  <c r="AA138" i="20"/>
  <c r="E155" i="21"/>
  <c r="E151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AB31" i="19"/>
  <c r="AB68" i="19" s="1"/>
  <c r="X31" i="19"/>
  <c r="X68" i="19" s="1"/>
  <c r="T31" i="19"/>
  <c r="T68" i="19" s="1"/>
  <c r="P31" i="19"/>
  <c r="P68" i="19" s="1"/>
  <c r="L31" i="19"/>
  <c r="L68" i="19" s="1"/>
  <c r="H31" i="19"/>
  <c r="H68" i="19" s="1"/>
  <c r="G156" i="19" l="1"/>
  <c r="D186" i="21" s="1"/>
  <c r="B186" i="21"/>
  <c r="F177" i="21"/>
  <c r="F178" i="21"/>
  <c r="F24" i="21"/>
  <c r="F175" i="21"/>
  <c r="D159" i="21"/>
  <c r="D156" i="21"/>
  <c r="D175" i="21"/>
  <c r="D174" i="21"/>
  <c r="D157" i="21"/>
  <c r="D173" i="21"/>
  <c r="D158" i="21"/>
  <c r="D172" i="21"/>
  <c r="D171" i="21"/>
  <c r="D170" i="21"/>
  <c r="D164" i="21"/>
  <c r="D166" i="21"/>
  <c r="D163" i="21"/>
  <c r="D162" i="21"/>
  <c r="D161" i="21"/>
  <c r="D169" i="21"/>
  <c r="D168" i="21"/>
  <c r="D165" i="21"/>
  <c r="D176" i="21"/>
  <c r="E160" i="21"/>
  <c r="F160" i="21" s="1"/>
  <c r="E167" i="21"/>
  <c r="F167" i="21" s="1"/>
  <c r="F161" i="21"/>
  <c r="F174" i="21"/>
  <c r="F166" i="21"/>
  <c r="F173" i="21"/>
  <c r="F165" i="21"/>
  <c r="F162" i="21"/>
  <c r="F158" i="21"/>
  <c r="F163" i="21"/>
  <c r="F164" i="21"/>
  <c r="F159" i="21"/>
  <c r="F176" i="21"/>
  <c r="F171" i="21"/>
  <c r="F170" i="21"/>
  <c r="F156" i="21"/>
  <c r="F172" i="21"/>
  <c r="F157" i="21"/>
  <c r="F169" i="21"/>
  <c r="F168" i="21"/>
  <c r="AN93" i="19" l="1"/>
  <c r="AK93" i="19"/>
  <c r="AK84" i="19"/>
  <c r="AK79" i="19"/>
  <c r="AN79" i="19"/>
  <c r="AQ79" i="19"/>
  <c r="AT79" i="19"/>
  <c r="AW79" i="19"/>
  <c r="AZ79" i="19"/>
  <c r="F155" i="21"/>
  <c r="AZ20" i="19"/>
  <c r="AW20" i="19"/>
  <c r="K131" i="21"/>
  <c r="K132" i="21"/>
  <c r="K133" i="21"/>
  <c r="K134" i="21"/>
  <c r="K135" i="21"/>
  <c r="K136" i="21"/>
  <c r="K137" i="21"/>
  <c r="K138" i="21"/>
  <c r="K139" i="21"/>
  <c r="K140" i="21"/>
  <c r="K141" i="21"/>
  <c r="K142" i="21"/>
  <c r="C154" i="21"/>
  <c r="F154" i="21" s="1"/>
  <c r="C88" i="21"/>
  <c r="F88" i="21" s="1"/>
  <c r="C87" i="21"/>
  <c r="F87" i="21" s="1"/>
  <c r="C83" i="21"/>
  <c r="F83" i="21" s="1"/>
  <c r="C28" i="21"/>
  <c r="F28" i="21" s="1"/>
  <c r="C27" i="21"/>
  <c r="F27" i="21" s="1"/>
  <c r="C26" i="21"/>
  <c r="F26" i="21" s="1"/>
  <c r="C25" i="21"/>
  <c r="F25" i="21" s="1"/>
  <c r="C23" i="21"/>
  <c r="F23" i="21" s="1"/>
  <c r="C22" i="21"/>
  <c r="F22" i="21" s="1"/>
  <c r="C21" i="21"/>
  <c r="F21" i="21" s="1"/>
  <c r="C20" i="21"/>
  <c r="F20" i="21" s="1"/>
  <c r="AN160" i="19"/>
  <c r="AN159" i="19"/>
  <c r="AN158" i="19"/>
  <c r="AN157" i="19"/>
  <c r="AN156" i="19"/>
  <c r="AN155" i="19"/>
  <c r="AN154" i="19"/>
  <c r="AN153" i="19"/>
  <c r="AN152" i="19"/>
  <c r="AN151" i="19"/>
  <c r="AN150" i="19"/>
  <c r="AN149" i="19"/>
  <c r="AZ160" i="19"/>
  <c r="AZ159" i="19"/>
  <c r="AZ158" i="19"/>
  <c r="AZ157" i="19"/>
  <c r="AZ156" i="19"/>
  <c r="AZ155" i="19"/>
  <c r="AZ154" i="19"/>
  <c r="AZ153" i="19"/>
  <c r="AZ152" i="19"/>
  <c r="AZ151" i="19"/>
  <c r="AZ150" i="19"/>
  <c r="AZ149" i="19"/>
  <c r="AW160" i="19"/>
  <c r="AW159" i="19"/>
  <c r="AW158" i="19"/>
  <c r="AW157" i="19"/>
  <c r="AW156" i="19"/>
  <c r="AW155" i="19"/>
  <c r="AW154" i="19"/>
  <c r="AW153" i="19"/>
  <c r="AW152" i="19"/>
  <c r="AW151" i="19"/>
  <c r="AW150" i="19"/>
  <c r="AW149" i="19"/>
  <c r="AT160" i="19"/>
  <c r="AT159" i="19"/>
  <c r="AT158" i="19"/>
  <c r="AT157" i="19"/>
  <c r="AT156" i="19"/>
  <c r="AT155" i="19"/>
  <c r="AT154" i="19"/>
  <c r="AT153" i="19"/>
  <c r="AT152" i="19"/>
  <c r="AT151" i="19"/>
  <c r="AT150" i="19"/>
  <c r="AT149" i="19"/>
  <c r="AQ160" i="19"/>
  <c r="AQ159" i="19"/>
  <c r="AQ158" i="19"/>
  <c r="AQ157" i="19"/>
  <c r="AQ156" i="19"/>
  <c r="AQ155" i="19"/>
  <c r="AQ154" i="19"/>
  <c r="AQ153" i="19"/>
  <c r="AQ152" i="19"/>
  <c r="AQ151" i="19"/>
  <c r="AQ150" i="19"/>
  <c r="AQ149" i="19"/>
  <c r="AK160" i="19"/>
  <c r="AK159" i="19"/>
  <c r="AK158" i="19"/>
  <c r="AK157" i="19"/>
  <c r="AK156" i="19"/>
  <c r="AK155" i="19"/>
  <c r="AK154" i="19"/>
  <c r="AK153" i="19"/>
  <c r="AK152" i="19"/>
  <c r="AK151" i="19"/>
  <c r="AK150" i="19"/>
  <c r="AK149" i="19"/>
  <c r="AZ166" i="19"/>
  <c r="AZ165" i="19"/>
  <c r="AZ164" i="19"/>
  <c r="AZ163" i="19"/>
  <c r="AZ148" i="19"/>
  <c r="AZ147" i="19"/>
  <c r="AZ146" i="19"/>
  <c r="AZ145" i="19"/>
  <c r="AZ144" i="19"/>
  <c r="AZ143" i="19"/>
  <c r="AZ142" i="19"/>
  <c r="AZ141" i="19"/>
  <c r="AZ140" i="19"/>
  <c r="AZ139" i="19"/>
  <c r="AZ138" i="19"/>
  <c r="AZ137" i="19"/>
  <c r="AZ136" i="19"/>
  <c r="AZ135" i="19"/>
  <c r="AZ134" i="19"/>
  <c r="AZ133" i="19"/>
  <c r="AZ132" i="19"/>
  <c r="AZ131" i="19"/>
  <c r="AZ130" i="19"/>
  <c r="AZ129" i="19"/>
  <c r="AZ128" i="19"/>
  <c r="AZ127" i="19"/>
  <c r="AZ126" i="19"/>
  <c r="AZ125" i="19"/>
  <c r="AZ124" i="19"/>
  <c r="AZ123" i="19"/>
  <c r="AZ122" i="19"/>
  <c r="AZ121" i="19"/>
  <c r="AZ120" i="19"/>
  <c r="AZ119" i="19"/>
  <c r="AZ118" i="19"/>
  <c r="AZ117" i="19"/>
  <c r="AZ116" i="19"/>
  <c r="AZ115" i="19"/>
  <c r="AZ114" i="19"/>
  <c r="AZ113" i="19"/>
  <c r="AZ112" i="19"/>
  <c r="AZ111" i="19"/>
  <c r="AZ110" i="19"/>
  <c r="AZ109" i="19"/>
  <c r="AZ108" i="19"/>
  <c r="AZ107" i="19"/>
  <c r="AZ100" i="19"/>
  <c r="AZ99" i="19"/>
  <c r="AZ98" i="19"/>
  <c r="AZ97" i="19"/>
  <c r="AZ96" i="19"/>
  <c r="AZ95" i="19"/>
  <c r="AZ94" i="19"/>
  <c r="AZ93" i="19"/>
  <c r="AZ92" i="19"/>
  <c r="AZ91" i="19"/>
  <c r="AZ90" i="19"/>
  <c r="AZ89" i="19"/>
  <c r="AZ88" i="19"/>
  <c r="AZ87" i="19"/>
  <c r="AZ86" i="19"/>
  <c r="AZ85" i="19"/>
  <c r="AZ84" i="19"/>
  <c r="AZ83" i="19"/>
  <c r="AZ82" i="19"/>
  <c r="AZ81" i="19"/>
  <c r="AZ80" i="19"/>
  <c r="AZ78" i="19"/>
  <c r="AZ77" i="19"/>
  <c r="AZ76" i="19"/>
  <c r="AZ75" i="19"/>
  <c r="AZ74" i="19"/>
  <c r="AZ73" i="19"/>
  <c r="AZ71" i="19"/>
  <c r="AZ70" i="19"/>
  <c r="AZ69" i="19"/>
  <c r="AZ68" i="19"/>
  <c r="AZ67" i="19"/>
  <c r="AZ65" i="19"/>
  <c r="AZ64" i="19"/>
  <c r="AZ63" i="19"/>
  <c r="AZ62" i="19"/>
  <c r="AZ61" i="19"/>
  <c r="AZ60" i="19"/>
  <c r="AZ59" i="19"/>
  <c r="AZ58" i="19"/>
  <c r="AZ57" i="19"/>
  <c r="AZ56" i="19"/>
  <c r="AZ55" i="19"/>
  <c r="AZ54" i="19"/>
  <c r="AZ53" i="19"/>
  <c r="AZ33" i="19"/>
  <c r="AZ32" i="19"/>
  <c r="AZ31" i="19"/>
  <c r="AZ30" i="19"/>
  <c r="AZ29" i="19"/>
  <c r="AZ28" i="19"/>
  <c r="AZ27" i="19"/>
  <c r="AZ26" i="19"/>
  <c r="AZ25" i="19"/>
  <c r="AZ24" i="19"/>
  <c r="AZ23" i="19"/>
  <c r="AZ22" i="19"/>
  <c r="AZ21" i="19"/>
  <c r="AZ19" i="19"/>
  <c r="AW166" i="19"/>
  <c r="AW165" i="19"/>
  <c r="AW164" i="19"/>
  <c r="AW163" i="19"/>
  <c r="AW162" i="19"/>
  <c r="AW161" i="19"/>
  <c r="AW148" i="19"/>
  <c r="AW147" i="19"/>
  <c r="AW146" i="19"/>
  <c r="AW145" i="19"/>
  <c r="AW144" i="19"/>
  <c r="AW143" i="19"/>
  <c r="AW142" i="19"/>
  <c r="AW141" i="19"/>
  <c r="AW140" i="19"/>
  <c r="AW139" i="19"/>
  <c r="AW138" i="19"/>
  <c r="AW137" i="19"/>
  <c r="AW136" i="19"/>
  <c r="AW135" i="19"/>
  <c r="AW134" i="19"/>
  <c r="AW133" i="19"/>
  <c r="AW132" i="19"/>
  <c r="AW131" i="19"/>
  <c r="AW130" i="19"/>
  <c r="AW129" i="19"/>
  <c r="AW128" i="19"/>
  <c r="AW127" i="19"/>
  <c r="AW126" i="19"/>
  <c r="AW125" i="19"/>
  <c r="AW124" i="19"/>
  <c r="AW123" i="19"/>
  <c r="AW122" i="19"/>
  <c r="AW121" i="19"/>
  <c r="AW120" i="19"/>
  <c r="AW119" i="19"/>
  <c r="AW118" i="19"/>
  <c r="AW117" i="19"/>
  <c r="AW116" i="19"/>
  <c r="AW115" i="19"/>
  <c r="AW114" i="19"/>
  <c r="AW113" i="19"/>
  <c r="AW112" i="19"/>
  <c r="AW111" i="19"/>
  <c r="AW110" i="19"/>
  <c r="AW109" i="19"/>
  <c r="AW108" i="19"/>
  <c r="AW107" i="19"/>
  <c r="AW100" i="19"/>
  <c r="AW99" i="19"/>
  <c r="AW98" i="19"/>
  <c r="AW97" i="19"/>
  <c r="AW96" i="19"/>
  <c r="AW95" i="19"/>
  <c r="AW94" i="19"/>
  <c r="AW93" i="19"/>
  <c r="AW92" i="19"/>
  <c r="AW91" i="19"/>
  <c r="AW90" i="19"/>
  <c r="AW89" i="19"/>
  <c r="AW88" i="19"/>
  <c r="AW87" i="19"/>
  <c r="AW86" i="19"/>
  <c r="AW85" i="19"/>
  <c r="AW84" i="19"/>
  <c r="AW83" i="19"/>
  <c r="AW82" i="19"/>
  <c r="AW81" i="19"/>
  <c r="AW80" i="19"/>
  <c r="AW78" i="19"/>
  <c r="AW77" i="19"/>
  <c r="AW76" i="19"/>
  <c r="AW75" i="19"/>
  <c r="AW74" i="19"/>
  <c r="AW73" i="19"/>
  <c r="AW71" i="19"/>
  <c r="AW70" i="19"/>
  <c r="AW69" i="19"/>
  <c r="AW68" i="19"/>
  <c r="AW67" i="19"/>
  <c r="AW65" i="19"/>
  <c r="AW64" i="19"/>
  <c r="AW63" i="19"/>
  <c r="AW62" i="19"/>
  <c r="AW61" i="19"/>
  <c r="AW60" i="19"/>
  <c r="AW59" i="19"/>
  <c r="AW58" i="19"/>
  <c r="AW57" i="19"/>
  <c r="AW56" i="19"/>
  <c r="AW55" i="19"/>
  <c r="AW54" i="19"/>
  <c r="AW53" i="19"/>
  <c r="AW33" i="19"/>
  <c r="AW32" i="19"/>
  <c r="AW31" i="19"/>
  <c r="AW30" i="19"/>
  <c r="AW29" i="19"/>
  <c r="AW28" i="19"/>
  <c r="AW27" i="19"/>
  <c r="AW26" i="19"/>
  <c r="AW25" i="19"/>
  <c r="AW24" i="19"/>
  <c r="AW23" i="19"/>
  <c r="AW22" i="19"/>
  <c r="AW21" i="19"/>
  <c r="AW19" i="19"/>
  <c r="AT166" i="19"/>
  <c r="AT165" i="19"/>
  <c r="AT164" i="19"/>
  <c r="AT163" i="19"/>
  <c r="AT162" i="19"/>
  <c r="AT161" i="19"/>
  <c r="AT148" i="19"/>
  <c r="AT147" i="19"/>
  <c r="AT146" i="19"/>
  <c r="AT145" i="19"/>
  <c r="AT144" i="19"/>
  <c r="AT143" i="19"/>
  <c r="AT142" i="19"/>
  <c r="AT141" i="19"/>
  <c r="AT140" i="19"/>
  <c r="AT139" i="19"/>
  <c r="AT138" i="19"/>
  <c r="AT137" i="19"/>
  <c r="AT136" i="19"/>
  <c r="AT135" i="19"/>
  <c r="AT134" i="19"/>
  <c r="AT133" i="19"/>
  <c r="AT132" i="19"/>
  <c r="AT131" i="19"/>
  <c r="AT130" i="19"/>
  <c r="AT129" i="19"/>
  <c r="AT128" i="19"/>
  <c r="AT127" i="19"/>
  <c r="AT126" i="19"/>
  <c r="AT125" i="19"/>
  <c r="AT124" i="19"/>
  <c r="AT123" i="19"/>
  <c r="AT122" i="19"/>
  <c r="AT121" i="19"/>
  <c r="AT120" i="19"/>
  <c r="AT119" i="19"/>
  <c r="AT118" i="19"/>
  <c r="AT117" i="19"/>
  <c r="AT116" i="19"/>
  <c r="AT115" i="19"/>
  <c r="AT114" i="19"/>
  <c r="AT113" i="19"/>
  <c r="AT112" i="19"/>
  <c r="AT111" i="19"/>
  <c r="AT110" i="19"/>
  <c r="AT109" i="19"/>
  <c r="AT108" i="19"/>
  <c r="AT107" i="19"/>
  <c r="AT100" i="19"/>
  <c r="AT99" i="19"/>
  <c r="AT98" i="19"/>
  <c r="AT97" i="19"/>
  <c r="AT96" i="19"/>
  <c r="AT95" i="19"/>
  <c r="AT94" i="19"/>
  <c r="AT93" i="19"/>
  <c r="AT92" i="19"/>
  <c r="AT91" i="19"/>
  <c r="AT90" i="19"/>
  <c r="AT89" i="19"/>
  <c r="AT88" i="19"/>
  <c r="AT87" i="19"/>
  <c r="AT86" i="19"/>
  <c r="AT85" i="19"/>
  <c r="AT84" i="19"/>
  <c r="AT83" i="19"/>
  <c r="AT82" i="19"/>
  <c r="AT81" i="19"/>
  <c r="AT80" i="19"/>
  <c r="AT78" i="19"/>
  <c r="AT77" i="19"/>
  <c r="AT76" i="19"/>
  <c r="AT75" i="19"/>
  <c r="AT74" i="19"/>
  <c r="AT73" i="19"/>
  <c r="AT71" i="19"/>
  <c r="AT70" i="19"/>
  <c r="AT69" i="19"/>
  <c r="AT68" i="19"/>
  <c r="AT67" i="19"/>
  <c r="AT65" i="19"/>
  <c r="AT64" i="19"/>
  <c r="AT63" i="19"/>
  <c r="AT62" i="19"/>
  <c r="AT61" i="19"/>
  <c r="AT60" i="19"/>
  <c r="AT59" i="19"/>
  <c r="AT58" i="19"/>
  <c r="AT57" i="19"/>
  <c r="AT56" i="19"/>
  <c r="AT55" i="19"/>
  <c r="AT54" i="19"/>
  <c r="AT53" i="19"/>
  <c r="AT33" i="19"/>
  <c r="AT32" i="19"/>
  <c r="AT31" i="19"/>
  <c r="AT30" i="19"/>
  <c r="AT29" i="19"/>
  <c r="AT28" i="19"/>
  <c r="AT27" i="19"/>
  <c r="AT26" i="19"/>
  <c r="AT25" i="19"/>
  <c r="AT24" i="19"/>
  <c r="AT23" i="19"/>
  <c r="AT22" i="19"/>
  <c r="AT21" i="19"/>
  <c r="AT20" i="19"/>
  <c r="AT19" i="19"/>
  <c r="AQ166" i="19"/>
  <c r="AQ165" i="19"/>
  <c r="AQ163" i="19"/>
  <c r="AQ162" i="19"/>
  <c r="AQ161" i="19"/>
  <c r="AQ148" i="19"/>
  <c r="AQ147" i="19"/>
  <c r="AQ146" i="19"/>
  <c r="AQ145" i="19"/>
  <c r="AQ144" i="19"/>
  <c r="AQ143" i="19"/>
  <c r="AQ142" i="19"/>
  <c r="AQ141" i="19"/>
  <c r="AQ140" i="19"/>
  <c r="AQ139" i="19"/>
  <c r="AQ138" i="19"/>
  <c r="AQ137" i="19"/>
  <c r="AQ136" i="19"/>
  <c r="AQ135" i="19"/>
  <c r="AQ134" i="19"/>
  <c r="AQ133" i="19"/>
  <c r="AQ132" i="19"/>
  <c r="AQ131" i="19"/>
  <c r="AQ130" i="19"/>
  <c r="AQ129" i="19"/>
  <c r="AQ128" i="19"/>
  <c r="AQ127" i="19"/>
  <c r="AQ126" i="19"/>
  <c r="AQ125" i="19"/>
  <c r="AQ124" i="19"/>
  <c r="AQ123" i="19"/>
  <c r="AQ122" i="19"/>
  <c r="AQ121" i="19"/>
  <c r="AQ120" i="19"/>
  <c r="AQ119" i="19"/>
  <c r="AQ118" i="19"/>
  <c r="AQ117" i="19"/>
  <c r="AQ116" i="19"/>
  <c r="AQ115" i="19"/>
  <c r="AQ114" i="19"/>
  <c r="AQ113" i="19"/>
  <c r="AQ112" i="19"/>
  <c r="AQ111" i="19"/>
  <c r="AQ110" i="19"/>
  <c r="AQ109" i="19"/>
  <c r="AQ108" i="19"/>
  <c r="AQ107" i="19"/>
  <c r="AQ100" i="19"/>
  <c r="AQ99" i="19"/>
  <c r="AQ98" i="19"/>
  <c r="AQ97" i="19"/>
  <c r="AQ96" i="19"/>
  <c r="AQ95" i="19"/>
  <c r="AQ94" i="19"/>
  <c r="AQ93" i="19"/>
  <c r="AQ92" i="19"/>
  <c r="AQ91" i="19"/>
  <c r="AQ90" i="19"/>
  <c r="AQ89" i="19"/>
  <c r="AQ88" i="19"/>
  <c r="AQ87" i="19"/>
  <c r="AQ86" i="19"/>
  <c r="AQ85" i="19"/>
  <c r="AQ170" i="19" s="1"/>
  <c r="AQ84" i="19"/>
  <c r="AQ83" i="19"/>
  <c r="AQ82" i="19"/>
  <c r="AQ81" i="19"/>
  <c r="AQ80" i="19"/>
  <c r="AQ78" i="19"/>
  <c r="AQ77" i="19"/>
  <c r="AQ76" i="19"/>
  <c r="AQ75" i="19"/>
  <c r="AQ74" i="19"/>
  <c r="AQ73" i="19"/>
  <c r="AQ71" i="19"/>
  <c r="AQ70" i="19"/>
  <c r="AQ69" i="19"/>
  <c r="AQ68" i="19"/>
  <c r="AQ67" i="19"/>
  <c r="AQ65" i="19"/>
  <c r="AQ64" i="19"/>
  <c r="AQ63" i="19"/>
  <c r="AQ62" i="19"/>
  <c r="AQ61" i="19"/>
  <c r="AQ60" i="19"/>
  <c r="AQ59" i="19"/>
  <c r="AQ58" i="19"/>
  <c r="AQ57" i="19"/>
  <c r="AQ56" i="19"/>
  <c r="AQ55" i="19"/>
  <c r="AQ54" i="19"/>
  <c r="AQ53" i="19"/>
  <c r="AQ33" i="19"/>
  <c r="AQ32" i="19"/>
  <c r="AQ31" i="19"/>
  <c r="AQ30" i="19"/>
  <c r="AQ29" i="19"/>
  <c r="AQ28" i="19"/>
  <c r="AQ27" i="19"/>
  <c r="AQ26" i="19"/>
  <c r="AQ25" i="19"/>
  <c r="AQ24" i="19"/>
  <c r="AQ23" i="19"/>
  <c r="AQ22" i="19"/>
  <c r="AQ21" i="19"/>
  <c r="AQ20" i="19"/>
  <c r="AQ19" i="19"/>
  <c r="AN166" i="19"/>
  <c r="AN165" i="19"/>
  <c r="AN164" i="19"/>
  <c r="AN163" i="19"/>
  <c r="AN162" i="19"/>
  <c r="AN161" i="19"/>
  <c r="AN148" i="19"/>
  <c r="AN147" i="19"/>
  <c r="AN146" i="19"/>
  <c r="AN145" i="19"/>
  <c r="AN144" i="19"/>
  <c r="AN143" i="19"/>
  <c r="AN142" i="19"/>
  <c r="AN141" i="19"/>
  <c r="AN140" i="19"/>
  <c r="AN139" i="19"/>
  <c r="AN138" i="19"/>
  <c r="AN137" i="19"/>
  <c r="AN136" i="19"/>
  <c r="AN135" i="19"/>
  <c r="AN134" i="19"/>
  <c r="AN133" i="19"/>
  <c r="AN132" i="19"/>
  <c r="AN131" i="19"/>
  <c r="AN130" i="19"/>
  <c r="AN129" i="19"/>
  <c r="AN128" i="19"/>
  <c r="AN127" i="19"/>
  <c r="AN126" i="19"/>
  <c r="AN125" i="19"/>
  <c r="AN124" i="19"/>
  <c r="AN123" i="19"/>
  <c r="AN122" i="19"/>
  <c r="AN121" i="19"/>
  <c r="AN120" i="19"/>
  <c r="AN119" i="19"/>
  <c r="AN118" i="19"/>
  <c r="AN117" i="19"/>
  <c r="AN116" i="19"/>
  <c r="AN115" i="19"/>
  <c r="AN114" i="19"/>
  <c r="AN113" i="19"/>
  <c r="AN112" i="19"/>
  <c r="AN111" i="19"/>
  <c r="AN110" i="19"/>
  <c r="AN109" i="19"/>
  <c r="AN108" i="19"/>
  <c r="AN107" i="19"/>
  <c r="AN100" i="19"/>
  <c r="AN99" i="19"/>
  <c r="AN98" i="19"/>
  <c r="AN97" i="19"/>
  <c r="AN96" i="19"/>
  <c r="AN95" i="19"/>
  <c r="AN94" i="19"/>
  <c r="AN92" i="19"/>
  <c r="AN91" i="19"/>
  <c r="AN90" i="19"/>
  <c r="AN89" i="19"/>
  <c r="AN88" i="19"/>
  <c r="AN87" i="19"/>
  <c r="AN86" i="19"/>
  <c r="AN85" i="19"/>
  <c r="AN84" i="19"/>
  <c r="AN83" i="19"/>
  <c r="AN168" i="19" s="1"/>
  <c r="AN82" i="19"/>
  <c r="AN81" i="19"/>
  <c r="AN80" i="19"/>
  <c r="AN78" i="19"/>
  <c r="AN77" i="19"/>
  <c r="AN76" i="19"/>
  <c r="AN75" i="19"/>
  <c r="AN74" i="19"/>
  <c r="AN73" i="19"/>
  <c r="AN71" i="19"/>
  <c r="AN70" i="19"/>
  <c r="AN69" i="19"/>
  <c r="AN68" i="19"/>
  <c r="AN67" i="19"/>
  <c r="AN65" i="19"/>
  <c r="AN64" i="19"/>
  <c r="AN63" i="19"/>
  <c r="AN62" i="19"/>
  <c r="AN61" i="19"/>
  <c r="AN60" i="19"/>
  <c r="AN59" i="19"/>
  <c r="AN58" i="19"/>
  <c r="AN57" i="19"/>
  <c r="AN56" i="19"/>
  <c r="AN55" i="19"/>
  <c r="AN54" i="19"/>
  <c r="AN53" i="19"/>
  <c r="AN33" i="19"/>
  <c r="AN32" i="19"/>
  <c r="AN31" i="19"/>
  <c r="AN30" i="19"/>
  <c r="AN29" i="19"/>
  <c r="AN28" i="19"/>
  <c r="AN27" i="19"/>
  <c r="AN26" i="19"/>
  <c r="AN25" i="19"/>
  <c r="AN24" i="19"/>
  <c r="AN23" i="19"/>
  <c r="AN22" i="19"/>
  <c r="AN21" i="19"/>
  <c r="AN20" i="19"/>
  <c r="AN19" i="19"/>
  <c r="AK161" i="19"/>
  <c r="AK136" i="19"/>
  <c r="AK135" i="19"/>
  <c r="AK134" i="19"/>
  <c r="AK133" i="19"/>
  <c r="AK132" i="19"/>
  <c r="AK131" i="19"/>
  <c r="AK125" i="19"/>
  <c r="AK124" i="19"/>
  <c r="AK123" i="19"/>
  <c r="AK122" i="19"/>
  <c r="AK121" i="19"/>
  <c r="AK120" i="19"/>
  <c r="AK119" i="19"/>
  <c r="AK118" i="19"/>
  <c r="AK117" i="19"/>
  <c r="AK116" i="19"/>
  <c r="AK115" i="19"/>
  <c r="AK114" i="19"/>
  <c r="AK113" i="19"/>
  <c r="AK112" i="19"/>
  <c r="AK111" i="19"/>
  <c r="AK110" i="19"/>
  <c r="AK109" i="19"/>
  <c r="AK108" i="19"/>
  <c r="AK107" i="19"/>
  <c r="AK70" i="19"/>
  <c r="AK65" i="19"/>
  <c r="AK34" i="19"/>
  <c r="AK33" i="19"/>
  <c r="AK32" i="19"/>
  <c r="AK31" i="19"/>
  <c r="AK164" i="19"/>
  <c r="AK163" i="19"/>
  <c r="AK148" i="19"/>
  <c r="AK147" i="19"/>
  <c r="AK146" i="19"/>
  <c r="AK145" i="19"/>
  <c r="AK144" i="19"/>
  <c r="AK143" i="19"/>
  <c r="AK142" i="19"/>
  <c r="AK141" i="19"/>
  <c r="AK140" i="19"/>
  <c r="AK139" i="19"/>
  <c r="AK138" i="19"/>
  <c r="AK137" i="19"/>
  <c r="AK130" i="19"/>
  <c r="AK129" i="19"/>
  <c r="AK128" i="19"/>
  <c r="AK127" i="19"/>
  <c r="AK126" i="19"/>
  <c r="AK100" i="19"/>
  <c r="AK99" i="19"/>
  <c r="AK98" i="19"/>
  <c r="AK95" i="19"/>
  <c r="AK96" i="19"/>
  <c r="AK97" i="19"/>
  <c r="AK94" i="19"/>
  <c r="AK92" i="19"/>
  <c r="AK91" i="19"/>
  <c r="AK90" i="19"/>
  <c r="AK89" i="19"/>
  <c r="AK88" i="19"/>
  <c r="AK87" i="19"/>
  <c r="AK86" i="19"/>
  <c r="AK85" i="19"/>
  <c r="AK83" i="19"/>
  <c r="AK168" i="19" s="1"/>
  <c r="AK80" i="19"/>
  <c r="AK82" i="19"/>
  <c r="AK81" i="19"/>
  <c r="AK78" i="19"/>
  <c r="AK77" i="19"/>
  <c r="AK76" i="19"/>
  <c r="AK75" i="19"/>
  <c r="AK74" i="19"/>
  <c r="AK73" i="19"/>
  <c r="AK71" i="19"/>
  <c r="AK69" i="19"/>
  <c r="AK68" i="19"/>
  <c r="AK67" i="19"/>
  <c r="AK64" i="19"/>
  <c r="AK63" i="19"/>
  <c r="AK62" i="19"/>
  <c r="AK61" i="19"/>
  <c r="AK60" i="19"/>
  <c r="AK59" i="19"/>
  <c r="AK58" i="19"/>
  <c r="AK57" i="19"/>
  <c r="AK56" i="19"/>
  <c r="AK55" i="19"/>
  <c r="AK54" i="19"/>
  <c r="AK53" i="19"/>
  <c r="AK52" i="19"/>
  <c r="AK51" i="19"/>
  <c r="AK50" i="19"/>
  <c r="AK39" i="19"/>
  <c r="AK38" i="19"/>
  <c r="AK37" i="19"/>
  <c r="AK36" i="19"/>
  <c r="AK35" i="19"/>
  <c r="AK30" i="19"/>
  <c r="AK29" i="19"/>
  <c r="AK28" i="19"/>
  <c r="AK27" i="19"/>
  <c r="AK26" i="19"/>
  <c r="AK25" i="19"/>
  <c r="AK24" i="19"/>
  <c r="AK23" i="19"/>
  <c r="AK22" i="19"/>
  <c r="AK21" i="19"/>
  <c r="AK20" i="19"/>
  <c r="AK19" i="19"/>
  <c r="AC377" i="20"/>
  <c r="AB377" i="20"/>
  <c r="M377" i="20"/>
  <c r="L377" i="20"/>
  <c r="AA377" i="20" s="1"/>
  <c r="K377" i="20"/>
  <c r="J377" i="20"/>
  <c r="AC376" i="20"/>
  <c r="AB376" i="20"/>
  <c r="M376" i="20"/>
  <c r="L376" i="20"/>
  <c r="AA376" i="20" s="1"/>
  <c r="K376" i="20"/>
  <c r="J376" i="20"/>
  <c r="AC375" i="20"/>
  <c r="AB375" i="20"/>
  <c r="M375" i="20"/>
  <c r="L375" i="20"/>
  <c r="AA375" i="20" s="1"/>
  <c r="K375" i="20"/>
  <c r="J375" i="20"/>
  <c r="AC374" i="20"/>
  <c r="AB374" i="20"/>
  <c r="M374" i="20"/>
  <c r="L374" i="20"/>
  <c r="AA374" i="20" s="1"/>
  <c r="K374" i="20"/>
  <c r="J374" i="20"/>
  <c r="AC373" i="20"/>
  <c r="AB373" i="20"/>
  <c r="M373" i="20"/>
  <c r="L373" i="20"/>
  <c r="AA373" i="20" s="1"/>
  <c r="K373" i="20"/>
  <c r="J373" i="20"/>
  <c r="AC372" i="20"/>
  <c r="AB372" i="20"/>
  <c r="M372" i="20"/>
  <c r="L372" i="20"/>
  <c r="AA372" i="20" s="1"/>
  <c r="K372" i="20"/>
  <c r="J372" i="20"/>
  <c r="AC371" i="20"/>
  <c r="AB371" i="20"/>
  <c r="M371" i="20"/>
  <c r="L371" i="20"/>
  <c r="AA371" i="20" s="1"/>
  <c r="K371" i="20"/>
  <c r="J371" i="20"/>
  <c r="J353" i="20"/>
  <c r="K353" i="20"/>
  <c r="L353" i="20"/>
  <c r="AA353" i="20" s="1"/>
  <c r="M353" i="20"/>
  <c r="AB353" i="20"/>
  <c r="AC353" i="20"/>
  <c r="J354" i="20"/>
  <c r="K354" i="20"/>
  <c r="L354" i="20"/>
  <c r="AA354" i="20" s="1"/>
  <c r="M354" i="20"/>
  <c r="AB354" i="20"/>
  <c r="AC354" i="20"/>
  <c r="J355" i="20"/>
  <c r="K355" i="20"/>
  <c r="L355" i="20"/>
  <c r="AA355" i="20" s="1"/>
  <c r="M355" i="20"/>
  <c r="AB355" i="20"/>
  <c r="AC355" i="20"/>
  <c r="J356" i="20"/>
  <c r="K356" i="20"/>
  <c r="L356" i="20"/>
  <c r="AA356" i="20" s="1"/>
  <c r="M356" i="20"/>
  <c r="AB356" i="20"/>
  <c r="AC356" i="20"/>
  <c r="J357" i="20"/>
  <c r="K357" i="20"/>
  <c r="L357" i="20"/>
  <c r="AA357" i="20" s="1"/>
  <c r="M357" i="20"/>
  <c r="AB357" i="20"/>
  <c r="AC357" i="20"/>
  <c r="J358" i="20"/>
  <c r="K358" i="20"/>
  <c r="L358" i="20"/>
  <c r="AA358" i="20" s="1"/>
  <c r="M358" i="20"/>
  <c r="AB358" i="20"/>
  <c r="AC358" i="20"/>
  <c r="J359" i="20"/>
  <c r="K359" i="20"/>
  <c r="L359" i="20"/>
  <c r="AA359" i="20" s="1"/>
  <c r="M359" i="20"/>
  <c r="AB359" i="20"/>
  <c r="AC359" i="20"/>
  <c r="J360" i="20"/>
  <c r="K360" i="20"/>
  <c r="L360" i="20"/>
  <c r="AA360" i="20" s="1"/>
  <c r="M360" i="20"/>
  <c r="AB360" i="20"/>
  <c r="AC360" i="20"/>
  <c r="J361" i="20"/>
  <c r="K361" i="20"/>
  <c r="L361" i="20"/>
  <c r="AA361" i="20" s="1"/>
  <c r="M361" i="20"/>
  <c r="AB361" i="20"/>
  <c r="AC361" i="20"/>
  <c r="J362" i="20"/>
  <c r="K362" i="20"/>
  <c r="L362" i="20"/>
  <c r="AA362" i="20" s="1"/>
  <c r="M362" i="20"/>
  <c r="AB362" i="20"/>
  <c r="AC362" i="20"/>
  <c r="J363" i="20"/>
  <c r="K363" i="20"/>
  <c r="L363" i="20"/>
  <c r="AA363" i="20" s="1"/>
  <c r="M363" i="20"/>
  <c r="AB363" i="20"/>
  <c r="AC363" i="20"/>
  <c r="J365" i="20"/>
  <c r="K365" i="20"/>
  <c r="L365" i="20"/>
  <c r="AA365" i="20" s="1"/>
  <c r="M365" i="20"/>
  <c r="AB365" i="20"/>
  <c r="AC365" i="20"/>
  <c r="J366" i="20"/>
  <c r="K366" i="20"/>
  <c r="L366" i="20"/>
  <c r="AA366" i="20" s="1"/>
  <c r="M366" i="20"/>
  <c r="AB366" i="20"/>
  <c r="AC366" i="20"/>
  <c r="J343" i="20"/>
  <c r="K343" i="20"/>
  <c r="L343" i="20"/>
  <c r="AA343" i="20" s="1"/>
  <c r="M343" i="20"/>
  <c r="AB343" i="20"/>
  <c r="AC343" i="20"/>
  <c r="J344" i="20"/>
  <c r="K344" i="20"/>
  <c r="L344" i="20"/>
  <c r="AA344" i="20" s="1"/>
  <c r="M344" i="20"/>
  <c r="AB344" i="20"/>
  <c r="AC344" i="20"/>
  <c r="J345" i="20"/>
  <c r="K345" i="20"/>
  <c r="L345" i="20"/>
  <c r="AA345" i="20" s="1"/>
  <c r="M345" i="20"/>
  <c r="AB345" i="20"/>
  <c r="AC345" i="20"/>
  <c r="J346" i="20"/>
  <c r="K346" i="20"/>
  <c r="L346" i="20"/>
  <c r="AA346" i="20" s="1"/>
  <c r="M346" i="20"/>
  <c r="AB346" i="20"/>
  <c r="AC346" i="20"/>
  <c r="J347" i="20"/>
  <c r="K347" i="20"/>
  <c r="L347" i="20"/>
  <c r="AA347" i="20" s="1"/>
  <c r="M347" i="20"/>
  <c r="AB347" i="20"/>
  <c r="AC347" i="20"/>
  <c r="J348" i="20"/>
  <c r="K348" i="20"/>
  <c r="L348" i="20"/>
  <c r="AA348" i="20" s="1"/>
  <c r="M348" i="20"/>
  <c r="AB348" i="20"/>
  <c r="AC348" i="20"/>
  <c r="J349" i="20"/>
  <c r="K349" i="20"/>
  <c r="L349" i="20"/>
  <c r="AA349" i="20" s="1"/>
  <c r="M349" i="20"/>
  <c r="AB349" i="20"/>
  <c r="AC349" i="20"/>
  <c r="J350" i="20"/>
  <c r="K350" i="20"/>
  <c r="L350" i="20"/>
  <c r="AA350" i="20" s="1"/>
  <c r="M350" i="20"/>
  <c r="AB350" i="20"/>
  <c r="AC350" i="20"/>
  <c r="J351" i="20"/>
  <c r="K351" i="20"/>
  <c r="L351" i="20"/>
  <c r="AA351" i="20" s="1"/>
  <c r="M351" i="20"/>
  <c r="AB351" i="20"/>
  <c r="AC351" i="20"/>
  <c r="J307" i="20"/>
  <c r="K307" i="20"/>
  <c r="L307" i="20"/>
  <c r="AA307" i="20" s="1"/>
  <c r="M307" i="20"/>
  <c r="AB307" i="20"/>
  <c r="AC307" i="20"/>
  <c r="J308" i="20"/>
  <c r="K308" i="20"/>
  <c r="L308" i="20"/>
  <c r="AA308" i="20" s="1"/>
  <c r="M308" i="20"/>
  <c r="AB308" i="20"/>
  <c r="AC308" i="20"/>
  <c r="J309" i="20"/>
  <c r="K309" i="20"/>
  <c r="L309" i="20"/>
  <c r="AA309" i="20" s="1"/>
  <c r="M309" i="20"/>
  <c r="AB309" i="20"/>
  <c r="AC309" i="20"/>
  <c r="J310" i="20"/>
  <c r="K310" i="20"/>
  <c r="L310" i="20"/>
  <c r="AA310" i="20" s="1"/>
  <c r="M310" i="20"/>
  <c r="AB310" i="20"/>
  <c r="AC310" i="20"/>
  <c r="J311" i="20"/>
  <c r="K311" i="20"/>
  <c r="L311" i="20"/>
  <c r="AA311" i="20" s="1"/>
  <c r="M311" i="20"/>
  <c r="AB311" i="20"/>
  <c r="AC311" i="20"/>
  <c r="J312" i="20"/>
  <c r="K312" i="20"/>
  <c r="L312" i="20"/>
  <c r="AA312" i="20" s="1"/>
  <c r="M312" i="20"/>
  <c r="AB312" i="20"/>
  <c r="AC312" i="20"/>
  <c r="J313" i="20"/>
  <c r="K313" i="20"/>
  <c r="L313" i="20"/>
  <c r="AA313" i="20" s="1"/>
  <c r="M313" i="20"/>
  <c r="AB313" i="20"/>
  <c r="AC313" i="20"/>
  <c r="J314" i="20"/>
  <c r="K314" i="20"/>
  <c r="L314" i="20"/>
  <c r="AA314" i="20" s="1"/>
  <c r="M314" i="20"/>
  <c r="AB314" i="20"/>
  <c r="AC314" i="20"/>
  <c r="J304" i="20"/>
  <c r="K304" i="20"/>
  <c r="L304" i="20"/>
  <c r="AA304" i="20" s="1"/>
  <c r="M304" i="20"/>
  <c r="AB304" i="20"/>
  <c r="AC304" i="20"/>
  <c r="J305" i="20"/>
  <c r="K305" i="20"/>
  <c r="L305" i="20"/>
  <c r="AA305" i="20" s="1"/>
  <c r="M305" i="20"/>
  <c r="AB305" i="20"/>
  <c r="AC305" i="20"/>
  <c r="J264" i="20"/>
  <c r="K264" i="20"/>
  <c r="L264" i="20"/>
  <c r="AA264" i="20" s="1"/>
  <c r="M264" i="20"/>
  <c r="AB264" i="20"/>
  <c r="AC264" i="20"/>
  <c r="J265" i="20"/>
  <c r="K265" i="20"/>
  <c r="L265" i="20"/>
  <c r="AA265" i="20" s="1"/>
  <c r="M265" i="20"/>
  <c r="AB265" i="20"/>
  <c r="AC265" i="20"/>
  <c r="J266" i="20"/>
  <c r="K266" i="20"/>
  <c r="L266" i="20"/>
  <c r="AA266" i="20" s="1"/>
  <c r="M266" i="20"/>
  <c r="AB266" i="20"/>
  <c r="AC266" i="20"/>
  <c r="J267" i="20"/>
  <c r="K267" i="20"/>
  <c r="L267" i="20"/>
  <c r="AA267" i="20" s="1"/>
  <c r="M267" i="20"/>
  <c r="AB267" i="20"/>
  <c r="AC267" i="20"/>
  <c r="J268" i="20"/>
  <c r="K268" i="20"/>
  <c r="L268" i="20"/>
  <c r="AA268" i="20" s="1"/>
  <c r="M268" i="20"/>
  <c r="AB268" i="20"/>
  <c r="AC268" i="20"/>
  <c r="J188" i="20"/>
  <c r="K188" i="20"/>
  <c r="L188" i="20"/>
  <c r="AA188" i="20" s="1"/>
  <c r="M188" i="20"/>
  <c r="AB188" i="20"/>
  <c r="AC188" i="20"/>
  <c r="J189" i="20"/>
  <c r="K189" i="20"/>
  <c r="L189" i="20"/>
  <c r="AA189" i="20" s="1"/>
  <c r="M189" i="20"/>
  <c r="AB189" i="20"/>
  <c r="AC189" i="20"/>
  <c r="J190" i="20"/>
  <c r="K190" i="20"/>
  <c r="L190" i="20"/>
  <c r="AA190" i="20" s="1"/>
  <c r="M190" i="20"/>
  <c r="AB190" i="20"/>
  <c r="AC190" i="20"/>
  <c r="J191" i="20"/>
  <c r="K191" i="20"/>
  <c r="L191" i="20"/>
  <c r="AA191" i="20" s="1"/>
  <c r="M191" i="20"/>
  <c r="AB191" i="20"/>
  <c r="AC191" i="20"/>
  <c r="J193" i="20"/>
  <c r="K193" i="20"/>
  <c r="L193" i="20"/>
  <c r="AA193" i="20" s="1"/>
  <c r="M193" i="20"/>
  <c r="AB193" i="20"/>
  <c r="AC193" i="20"/>
  <c r="J194" i="20"/>
  <c r="K194" i="20"/>
  <c r="L194" i="20"/>
  <c r="AA194" i="20" s="1"/>
  <c r="M194" i="20"/>
  <c r="AB194" i="20"/>
  <c r="AC194" i="20"/>
  <c r="J195" i="20"/>
  <c r="K195" i="20"/>
  <c r="L195" i="20"/>
  <c r="AA195" i="20" s="1"/>
  <c r="M195" i="20"/>
  <c r="AB195" i="20"/>
  <c r="AC195" i="20"/>
  <c r="J196" i="20"/>
  <c r="K196" i="20"/>
  <c r="L196" i="20"/>
  <c r="AA196" i="20" s="1"/>
  <c r="M196" i="20"/>
  <c r="AB196" i="20"/>
  <c r="AC196" i="20"/>
  <c r="J197" i="20"/>
  <c r="K197" i="20"/>
  <c r="L197" i="20"/>
  <c r="AA197" i="20" s="1"/>
  <c r="M197" i="20"/>
  <c r="AB197" i="20"/>
  <c r="AC197" i="20"/>
  <c r="J198" i="20"/>
  <c r="K198" i="20"/>
  <c r="L198" i="20"/>
  <c r="AA198" i="20" s="1"/>
  <c r="M198" i="20"/>
  <c r="AB198" i="20"/>
  <c r="AC198" i="20"/>
  <c r="AC137" i="20"/>
  <c r="AB137" i="20"/>
  <c r="M137" i="20"/>
  <c r="L137" i="20"/>
  <c r="AA137" i="20" s="1"/>
  <c r="K137" i="20"/>
  <c r="J137" i="20"/>
  <c r="AC136" i="20"/>
  <c r="AB136" i="20"/>
  <c r="M136" i="20"/>
  <c r="L136" i="20"/>
  <c r="AA136" i="20" s="1"/>
  <c r="K136" i="20"/>
  <c r="J136" i="20"/>
  <c r="AC135" i="20"/>
  <c r="AB135" i="20"/>
  <c r="M135" i="20"/>
  <c r="L135" i="20"/>
  <c r="AA135" i="20" s="1"/>
  <c r="K135" i="20"/>
  <c r="J135" i="20"/>
  <c r="AC134" i="20"/>
  <c r="AB134" i="20"/>
  <c r="M134" i="20"/>
  <c r="L134" i="20"/>
  <c r="AA134" i="20" s="1"/>
  <c r="K134" i="20"/>
  <c r="J134" i="20"/>
  <c r="AC133" i="20"/>
  <c r="AB133" i="20"/>
  <c r="M133" i="20"/>
  <c r="L133" i="20"/>
  <c r="AA133" i="20" s="1"/>
  <c r="K133" i="20"/>
  <c r="J133" i="20"/>
  <c r="AC132" i="20"/>
  <c r="AB132" i="20"/>
  <c r="M132" i="20"/>
  <c r="L132" i="20"/>
  <c r="AA132" i="20" s="1"/>
  <c r="K132" i="20"/>
  <c r="J132" i="20"/>
  <c r="AC131" i="20"/>
  <c r="AB131" i="20"/>
  <c r="M131" i="20"/>
  <c r="L131" i="20"/>
  <c r="AA131" i="20" s="1"/>
  <c r="K131" i="20"/>
  <c r="J131" i="20"/>
  <c r="AC130" i="20"/>
  <c r="AB130" i="20"/>
  <c r="M130" i="20"/>
  <c r="L130" i="20"/>
  <c r="AA130" i="20" s="1"/>
  <c r="K130" i="20"/>
  <c r="J130" i="20"/>
  <c r="AC129" i="20"/>
  <c r="AB129" i="20"/>
  <c r="M129" i="20"/>
  <c r="L129" i="20"/>
  <c r="AA129" i="20" s="1"/>
  <c r="K129" i="20"/>
  <c r="J129" i="20"/>
  <c r="AC128" i="20"/>
  <c r="AB128" i="20"/>
  <c r="M128" i="20"/>
  <c r="L128" i="20"/>
  <c r="AA128" i="20" s="1"/>
  <c r="K128" i="20"/>
  <c r="J128" i="20"/>
  <c r="AC127" i="20"/>
  <c r="AB127" i="20"/>
  <c r="M127" i="20"/>
  <c r="L127" i="20"/>
  <c r="AA127" i="20" s="1"/>
  <c r="K127" i="20"/>
  <c r="J127" i="20"/>
  <c r="AC126" i="20"/>
  <c r="AB126" i="20"/>
  <c r="M126" i="20"/>
  <c r="L126" i="20"/>
  <c r="AA126" i="20" s="1"/>
  <c r="K126" i="20"/>
  <c r="J126" i="20"/>
  <c r="AC125" i="20"/>
  <c r="AB125" i="20"/>
  <c r="M125" i="20"/>
  <c r="L125" i="20"/>
  <c r="AA125" i="20" s="1"/>
  <c r="K125" i="20"/>
  <c r="J125" i="20"/>
  <c r="AC124" i="20"/>
  <c r="AB124" i="20"/>
  <c r="M124" i="20"/>
  <c r="L124" i="20"/>
  <c r="AA124" i="20" s="1"/>
  <c r="K124" i="20"/>
  <c r="J124" i="20"/>
  <c r="AC123" i="20"/>
  <c r="AB123" i="20"/>
  <c r="M123" i="20"/>
  <c r="L123" i="20"/>
  <c r="AA123" i="20" s="1"/>
  <c r="K123" i="20"/>
  <c r="J123" i="20"/>
  <c r="AC122" i="20"/>
  <c r="AB122" i="20"/>
  <c r="M122" i="20"/>
  <c r="L122" i="20"/>
  <c r="AA122" i="20" s="1"/>
  <c r="K122" i="20"/>
  <c r="J122" i="20"/>
  <c r="AC121" i="20"/>
  <c r="AB121" i="20"/>
  <c r="M121" i="20"/>
  <c r="L121" i="20"/>
  <c r="AA121" i="20" s="1"/>
  <c r="K121" i="20"/>
  <c r="J121" i="20"/>
  <c r="AC120" i="20"/>
  <c r="AB120" i="20"/>
  <c r="M120" i="20"/>
  <c r="L120" i="20"/>
  <c r="AA120" i="20" s="1"/>
  <c r="K120" i="20"/>
  <c r="J120" i="20"/>
  <c r="AC119" i="20"/>
  <c r="AB119" i="20"/>
  <c r="M119" i="20"/>
  <c r="L119" i="20"/>
  <c r="AA119" i="20" s="1"/>
  <c r="K119" i="20"/>
  <c r="J119" i="20"/>
  <c r="AC118" i="20"/>
  <c r="AB118" i="20"/>
  <c r="M118" i="20"/>
  <c r="L118" i="20"/>
  <c r="AA118" i="20" s="1"/>
  <c r="K118" i="20"/>
  <c r="J118" i="20"/>
  <c r="AC117" i="20"/>
  <c r="AB117" i="20"/>
  <c r="M117" i="20"/>
  <c r="L117" i="20"/>
  <c r="AA117" i="20" s="1"/>
  <c r="K117" i="20"/>
  <c r="J117" i="20"/>
  <c r="AC116" i="20"/>
  <c r="AB116" i="20"/>
  <c r="M116" i="20"/>
  <c r="L116" i="20"/>
  <c r="AA116" i="20" s="1"/>
  <c r="K116" i="20"/>
  <c r="J116" i="20"/>
  <c r="AC115" i="20"/>
  <c r="AB115" i="20"/>
  <c r="M115" i="20"/>
  <c r="L115" i="20"/>
  <c r="AA115" i="20" s="1"/>
  <c r="K115" i="20"/>
  <c r="J115" i="20"/>
  <c r="AC114" i="20"/>
  <c r="AB114" i="20"/>
  <c r="M114" i="20"/>
  <c r="L114" i="20"/>
  <c r="AA114" i="20" s="1"/>
  <c r="K114" i="20"/>
  <c r="J114" i="20"/>
  <c r="AC113" i="20"/>
  <c r="AB113" i="20"/>
  <c r="M113" i="20"/>
  <c r="L113" i="20"/>
  <c r="AA113" i="20" s="1"/>
  <c r="K113" i="20"/>
  <c r="J113" i="20"/>
  <c r="AC112" i="20"/>
  <c r="AB112" i="20"/>
  <c r="M112" i="20"/>
  <c r="L112" i="20"/>
  <c r="AA112" i="20" s="1"/>
  <c r="K112" i="20"/>
  <c r="J112" i="20"/>
  <c r="AC111" i="20"/>
  <c r="AB111" i="20"/>
  <c r="M111" i="20"/>
  <c r="L111" i="20"/>
  <c r="AA111" i="20" s="1"/>
  <c r="K111" i="20"/>
  <c r="J111" i="20"/>
  <c r="AC110" i="20"/>
  <c r="AB110" i="20"/>
  <c r="M110" i="20"/>
  <c r="L110" i="20"/>
  <c r="AA110" i="20" s="1"/>
  <c r="K110" i="20"/>
  <c r="J110" i="20"/>
  <c r="AC109" i="20"/>
  <c r="AB109" i="20"/>
  <c r="M109" i="20"/>
  <c r="L109" i="20"/>
  <c r="AA109" i="20" s="1"/>
  <c r="K109" i="20"/>
  <c r="J109" i="20"/>
  <c r="AC108" i="20"/>
  <c r="AB108" i="20"/>
  <c r="M108" i="20"/>
  <c r="L108" i="20"/>
  <c r="AA108" i="20" s="1"/>
  <c r="K108" i="20"/>
  <c r="J108" i="20"/>
  <c r="AC107" i="20"/>
  <c r="AB107" i="20"/>
  <c r="M107" i="20"/>
  <c r="L107" i="20"/>
  <c r="AA107" i="20" s="1"/>
  <c r="K107" i="20"/>
  <c r="J107" i="20"/>
  <c r="AC106" i="20"/>
  <c r="AB106" i="20"/>
  <c r="M106" i="20"/>
  <c r="L106" i="20"/>
  <c r="AA106" i="20" s="1"/>
  <c r="K106" i="20"/>
  <c r="J106" i="20"/>
  <c r="AC105" i="20"/>
  <c r="AB105" i="20"/>
  <c r="M105" i="20"/>
  <c r="L105" i="20"/>
  <c r="AA105" i="20" s="1"/>
  <c r="K105" i="20"/>
  <c r="J105" i="20"/>
  <c r="AC104" i="20"/>
  <c r="AB104" i="20"/>
  <c r="M104" i="20"/>
  <c r="L104" i="20"/>
  <c r="AA104" i="20" s="1"/>
  <c r="K104" i="20"/>
  <c r="J104" i="20"/>
  <c r="AC103" i="20"/>
  <c r="AB103" i="20"/>
  <c r="M103" i="20"/>
  <c r="L103" i="20"/>
  <c r="AA103" i="20" s="1"/>
  <c r="K103" i="20"/>
  <c r="J103" i="20"/>
  <c r="AC102" i="20"/>
  <c r="AB102" i="20"/>
  <c r="M102" i="20"/>
  <c r="L102" i="20"/>
  <c r="AA102" i="20" s="1"/>
  <c r="K102" i="20"/>
  <c r="J102" i="20"/>
  <c r="AC101" i="20"/>
  <c r="AB101" i="20"/>
  <c r="M101" i="20"/>
  <c r="L101" i="20"/>
  <c r="AA101" i="20" s="1"/>
  <c r="K101" i="20"/>
  <c r="J101" i="20"/>
  <c r="AC100" i="20"/>
  <c r="AB100" i="20"/>
  <c r="M100" i="20"/>
  <c r="L100" i="20"/>
  <c r="AA100" i="20" s="1"/>
  <c r="K100" i="20"/>
  <c r="J100" i="20"/>
  <c r="AC99" i="20"/>
  <c r="AB99" i="20"/>
  <c r="M99" i="20"/>
  <c r="L99" i="20"/>
  <c r="AA99" i="20" s="1"/>
  <c r="K99" i="20"/>
  <c r="J99" i="20"/>
  <c r="AC98" i="20"/>
  <c r="AB98" i="20"/>
  <c r="M98" i="20"/>
  <c r="L98" i="20"/>
  <c r="AA98" i="20" s="1"/>
  <c r="K98" i="20"/>
  <c r="J98" i="20"/>
  <c r="AC97" i="20"/>
  <c r="AB97" i="20"/>
  <c r="M97" i="20"/>
  <c r="L97" i="20"/>
  <c r="AA97" i="20" s="1"/>
  <c r="K97" i="20"/>
  <c r="J97" i="20"/>
  <c r="AC96" i="20"/>
  <c r="AB96" i="20"/>
  <c r="M96" i="20"/>
  <c r="L96" i="20"/>
  <c r="AA96" i="20" s="1"/>
  <c r="K96" i="20"/>
  <c r="J96" i="20"/>
  <c r="AC95" i="20"/>
  <c r="AB95" i="20"/>
  <c r="M95" i="20"/>
  <c r="L95" i="20"/>
  <c r="AA95" i="20" s="1"/>
  <c r="K95" i="20"/>
  <c r="J95" i="20"/>
  <c r="AC94" i="20"/>
  <c r="AB94" i="20"/>
  <c r="M94" i="20"/>
  <c r="L94" i="20"/>
  <c r="AA94" i="20" s="1"/>
  <c r="K94" i="20"/>
  <c r="J94" i="20"/>
  <c r="AC93" i="20"/>
  <c r="AB93" i="20"/>
  <c r="M93" i="20"/>
  <c r="L93" i="20"/>
  <c r="AA93" i="20" s="1"/>
  <c r="K93" i="20"/>
  <c r="J93" i="20"/>
  <c r="AC92" i="20"/>
  <c r="AB92" i="20"/>
  <c r="M92" i="20"/>
  <c r="L92" i="20"/>
  <c r="AA92" i="20" s="1"/>
  <c r="K92" i="20"/>
  <c r="J92" i="20"/>
  <c r="AC91" i="20"/>
  <c r="AB91" i="20"/>
  <c r="M91" i="20"/>
  <c r="L91" i="20"/>
  <c r="AA91" i="20" s="1"/>
  <c r="K91" i="20"/>
  <c r="J91" i="20"/>
  <c r="AC90" i="20"/>
  <c r="AB90" i="20"/>
  <c r="M90" i="20"/>
  <c r="L90" i="20"/>
  <c r="AA90" i="20" s="1"/>
  <c r="K90" i="20"/>
  <c r="J90" i="20"/>
  <c r="AC89" i="20"/>
  <c r="AB89" i="20"/>
  <c r="M89" i="20"/>
  <c r="L89" i="20"/>
  <c r="AA89" i="20" s="1"/>
  <c r="K89" i="20"/>
  <c r="J89" i="20"/>
  <c r="AC88" i="20"/>
  <c r="AB88" i="20"/>
  <c r="M88" i="20"/>
  <c r="L88" i="20"/>
  <c r="AA88" i="20" s="1"/>
  <c r="K88" i="20"/>
  <c r="J88" i="20"/>
  <c r="AC87" i="20"/>
  <c r="AB87" i="20"/>
  <c r="M87" i="20"/>
  <c r="L87" i="20"/>
  <c r="AA87" i="20" s="1"/>
  <c r="K87" i="20"/>
  <c r="J87" i="20"/>
  <c r="AC86" i="20"/>
  <c r="AB86" i="20"/>
  <c r="M86" i="20"/>
  <c r="L86" i="20"/>
  <c r="AA86" i="20" s="1"/>
  <c r="K86" i="20"/>
  <c r="J86" i="20"/>
  <c r="AC85" i="20"/>
  <c r="AB85" i="20"/>
  <c r="M85" i="20"/>
  <c r="L85" i="20"/>
  <c r="AA85" i="20" s="1"/>
  <c r="K85" i="20"/>
  <c r="J85" i="20"/>
  <c r="AC84" i="20"/>
  <c r="AB84" i="20"/>
  <c r="M84" i="20"/>
  <c r="L84" i="20"/>
  <c r="AA84" i="20" s="1"/>
  <c r="K84" i="20"/>
  <c r="J84" i="20"/>
  <c r="AC83" i="20"/>
  <c r="AB83" i="20"/>
  <c r="M83" i="20"/>
  <c r="L83" i="20"/>
  <c r="AA83" i="20" s="1"/>
  <c r="K83" i="20"/>
  <c r="J83" i="20"/>
  <c r="AC82" i="20"/>
  <c r="AB82" i="20"/>
  <c r="M82" i="20"/>
  <c r="L82" i="20"/>
  <c r="AA82" i="20" s="1"/>
  <c r="K82" i="20"/>
  <c r="J82" i="20"/>
  <c r="AC81" i="20"/>
  <c r="AB81" i="20"/>
  <c r="M81" i="20"/>
  <c r="L81" i="20"/>
  <c r="AA81" i="20" s="1"/>
  <c r="K81" i="20"/>
  <c r="J81" i="20"/>
  <c r="AC80" i="20"/>
  <c r="AB80" i="20"/>
  <c r="M80" i="20"/>
  <c r="L80" i="20"/>
  <c r="AA80" i="20" s="1"/>
  <c r="K80" i="20"/>
  <c r="J80" i="20"/>
  <c r="AC79" i="20"/>
  <c r="AB79" i="20"/>
  <c r="M79" i="20"/>
  <c r="L79" i="20"/>
  <c r="AA79" i="20" s="1"/>
  <c r="K79" i="20"/>
  <c r="J79" i="20"/>
  <c r="AC78" i="20"/>
  <c r="AB78" i="20"/>
  <c r="M78" i="20"/>
  <c r="L78" i="20"/>
  <c r="AA78" i="20" s="1"/>
  <c r="K78" i="20"/>
  <c r="J78" i="20"/>
  <c r="AC77" i="20"/>
  <c r="AB77" i="20"/>
  <c r="M77" i="20"/>
  <c r="L77" i="20"/>
  <c r="AA77" i="20" s="1"/>
  <c r="K77" i="20"/>
  <c r="J77" i="20"/>
  <c r="AC76" i="20"/>
  <c r="AB76" i="20"/>
  <c r="M76" i="20"/>
  <c r="L76" i="20"/>
  <c r="AA76" i="20" s="1"/>
  <c r="K76" i="20"/>
  <c r="J76" i="20"/>
  <c r="AC75" i="20"/>
  <c r="AB75" i="20"/>
  <c r="M75" i="20"/>
  <c r="L75" i="20"/>
  <c r="AA75" i="20" s="1"/>
  <c r="K75" i="20"/>
  <c r="J75" i="20"/>
  <c r="AC74" i="20"/>
  <c r="AB74" i="20"/>
  <c r="M74" i="20"/>
  <c r="L74" i="20"/>
  <c r="AA74" i="20" s="1"/>
  <c r="K74" i="20"/>
  <c r="J74" i="20"/>
  <c r="AC73" i="20"/>
  <c r="AB73" i="20"/>
  <c r="M73" i="20"/>
  <c r="L73" i="20"/>
  <c r="AA73" i="20" s="1"/>
  <c r="K73" i="20"/>
  <c r="J73" i="20"/>
  <c r="AC72" i="20"/>
  <c r="AB72" i="20"/>
  <c r="M72" i="20"/>
  <c r="L72" i="20"/>
  <c r="AA72" i="20" s="1"/>
  <c r="K72" i="20"/>
  <c r="J72" i="20"/>
  <c r="AC71" i="20"/>
  <c r="AB71" i="20"/>
  <c r="M71" i="20"/>
  <c r="L71" i="20"/>
  <c r="AA71" i="20" s="1"/>
  <c r="K71" i="20"/>
  <c r="J71" i="20"/>
  <c r="AC70" i="20"/>
  <c r="AB70" i="20"/>
  <c r="M70" i="20"/>
  <c r="L70" i="20"/>
  <c r="AA70" i="20" s="1"/>
  <c r="K70" i="20"/>
  <c r="J70" i="20"/>
  <c r="AC69" i="20"/>
  <c r="AB69" i="20"/>
  <c r="M69" i="20"/>
  <c r="L69" i="20"/>
  <c r="AA69" i="20" s="1"/>
  <c r="K69" i="20"/>
  <c r="J69" i="20"/>
  <c r="AC68" i="20"/>
  <c r="AB68" i="20"/>
  <c r="M68" i="20"/>
  <c r="L68" i="20"/>
  <c r="AA68" i="20" s="1"/>
  <c r="K68" i="20"/>
  <c r="J68" i="20"/>
  <c r="AC67" i="20"/>
  <c r="AB67" i="20"/>
  <c r="M67" i="20"/>
  <c r="L67" i="20"/>
  <c r="AA67" i="20" s="1"/>
  <c r="K67" i="20"/>
  <c r="J67" i="20"/>
  <c r="AC66" i="20"/>
  <c r="AB66" i="20"/>
  <c r="M66" i="20"/>
  <c r="L66" i="20"/>
  <c r="AA66" i="20" s="1"/>
  <c r="K66" i="20"/>
  <c r="J66" i="20"/>
  <c r="AC65" i="20"/>
  <c r="AB65" i="20"/>
  <c r="M65" i="20"/>
  <c r="L65" i="20"/>
  <c r="AA65" i="20" s="1"/>
  <c r="K65" i="20"/>
  <c r="J65" i="20"/>
  <c r="AC64" i="20"/>
  <c r="AB64" i="20"/>
  <c r="M64" i="20"/>
  <c r="L64" i="20"/>
  <c r="AA64" i="20" s="1"/>
  <c r="K64" i="20"/>
  <c r="J64" i="20"/>
  <c r="AC63" i="20"/>
  <c r="AB63" i="20"/>
  <c r="M63" i="20"/>
  <c r="L63" i="20"/>
  <c r="AA63" i="20" s="1"/>
  <c r="K63" i="20"/>
  <c r="J63" i="20"/>
  <c r="AC62" i="20"/>
  <c r="AB62" i="20"/>
  <c r="M62" i="20"/>
  <c r="L62" i="20"/>
  <c r="AA62" i="20" s="1"/>
  <c r="K62" i="20"/>
  <c r="J62" i="20"/>
  <c r="AC61" i="20"/>
  <c r="AB61" i="20"/>
  <c r="M61" i="20"/>
  <c r="L61" i="20"/>
  <c r="AA61" i="20" s="1"/>
  <c r="K61" i="20"/>
  <c r="J61" i="20"/>
  <c r="AC60" i="20"/>
  <c r="AB60" i="20"/>
  <c r="M60" i="20"/>
  <c r="L60" i="20"/>
  <c r="AA60" i="20" s="1"/>
  <c r="K60" i="20"/>
  <c r="J60" i="20"/>
  <c r="AC59" i="20"/>
  <c r="AB59" i="20"/>
  <c r="M59" i="20"/>
  <c r="L59" i="20"/>
  <c r="AA59" i="20" s="1"/>
  <c r="K59" i="20"/>
  <c r="J59" i="20"/>
  <c r="AC58" i="20"/>
  <c r="AB58" i="20"/>
  <c r="M58" i="20"/>
  <c r="L58" i="20"/>
  <c r="AA58" i="20" s="1"/>
  <c r="K58" i="20"/>
  <c r="J58" i="20"/>
  <c r="AC57" i="20"/>
  <c r="AB57" i="20"/>
  <c r="M57" i="20"/>
  <c r="L57" i="20"/>
  <c r="AA57" i="20" s="1"/>
  <c r="K57" i="20"/>
  <c r="J57" i="20"/>
  <c r="AC56" i="20"/>
  <c r="AB56" i="20"/>
  <c r="M56" i="20"/>
  <c r="L56" i="20"/>
  <c r="AA56" i="20" s="1"/>
  <c r="K56" i="20"/>
  <c r="J56" i="20"/>
  <c r="AC55" i="20"/>
  <c r="AB55" i="20"/>
  <c r="M55" i="20"/>
  <c r="L55" i="20"/>
  <c r="AA55" i="20" s="1"/>
  <c r="K55" i="20"/>
  <c r="J55" i="20"/>
  <c r="AC54" i="20"/>
  <c r="AB54" i="20"/>
  <c r="M54" i="20"/>
  <c r="L54" i="20"/>
  <c r="AA54" i="20" s="1"/>
  <c r="K54" i="20"/>
  <c r="J54" i="20"/>
  <c r="AC53" i="20"/>
  <c r="AB53" i="20"/>
  <c r="M53" i="20"/>
  <c r="L53" i="20"/>
  <c r="AA53" i="20" s="1"/>
  <c r="K53" i="20"/>
  <c r="J53" i="20"/>
  <c r="AC52" i="20"/>
  <c r="AB52" i="20"/>
  <c r="M52" i="20"/>
  <c r="L52" i="20"/>
  <c r="AA52" i="20" s="1"/>
  <c r="K52" i="20"/>
  <c r="J52" i="20"/>
  <c r="AC51" i="20"/>
  <c r="AB51" i="20"/>
  <c r="M51" i="20"/>
  <c r="L51" i="20"/>
  <c r="AA51" i="20" s="1"/>
  <c r="K51" i="20"/>
  <c r="J51" i="20"/>
  <c r="AC50" i="20"/>
  <c r="AB50" i="20"/>
  <c r="M50" i="20"/>
  <c r="L50" i="20"/>
  <c r="AA50" i="20" s="1"/>
  <c r="K50" i="20"/>
  <c r="J50" i="20"/>
  <c r="AC49" i="20"/>
  <c r="AB49" i="20"/>
  <c r="M49" i="20"/>
  <c r="L49" i="20"/>
  <c r="AA49" i="20" s="1"/>
  <c r="K49" i="20"/>
  <c r="J49" i="20"/>
  <c r="AC48" i="20"/>
  <c r="AB48" i="20"/>
  <c r="M48" i="20"/>
  <c r="L48" i="20"/>
  <c r="AA48" i="20" s="1"/>
  <c r="K48" i="20"/>
  <c r="J48" i="20"/>
  <c r="AC47" i="20"/>
  <c r="AB47" i="20"/>
  <c r="M47" i="20"/>
  <c r="L47" i="20"/>
  <c r="AA47" i="20" s="1"/>
  <c r="K47" i="20"/>
  <c r="J47" i="20"/>
  <c r="AC46" i="20"/>
  <c r="AB46" i="20"/>
  <c r="M46" i="20"/>
  <c r="L46" i="20"/>
  <c r="AA46" i="20" s="1"/>
  <c r="K46" i="20"/>
  <c r="J46" i="20"/>
  <c r="AC45" i="20"/>
  <c r="AB45" i="20"/>
  <c r="M45" i="20"/>
  <c r="L45" i="20"/>
  <c r="AA45" i="20" s="1"/>
  <c r="K45" i="20"/>
  <c r="J45" i="20"/>
  <c r="AC44" i="20"/>
  <c r="AB44" i="20"/>
  <c r="M44" i="20"/>
  <c r="L44" i="20"/>
  <c r="AA44" i="20" s="1"/>
  <c r="K44" i="20"/>
  <c r="J44" i="20"/>
  <c r="AC43" i="20"/>
  <c r="AB43" i="20"/>
  <c r="M43" i="20"/>
  <c r="L43" i="20"/>
  <c r="AA43" i="20" s="1"/>
  <c r="K43" i="20"/>
  <c r="J43" i="20"/>
  <c r="AC42" i="20"/>
  <c r="AB42" i="20"/>
  <c r="M42" i="20"/>
  <c r="L42" i="20"/>
  <c r="AA42" i="20" s="1"/>
  <c r="K42" i="20"/>
  <c r="J42" i="20"/>
  <c r="AC41" i="20"/>
  <c r="AB41" i="20"/>
  <c r="M41" i="20"/>
  <c r="L41" i="20"/>
  <c r="AA41" i="20" s="1"/>
  <c r="K41" i="20"/>
  <c r="J41" i="20"/>
  <c r="AC40" i="20"/>
  <c r="AB40" i="20"/>
  <c r="M40" i="20"/>
  <c r="L40" i="20"/>
  <c r="AA40" i="20" s="1"/>
  <c r="K40" i="20"/>
  <c r="J40" i="20"/>
  <c r="AC39" i="20"/>
  <c r="AB39" i="20"/>
  <c r="M39" i="20"/>
  <c r="L39" i="20"/>
  <c r="AA39" i="20" s="1"/>
  <c r="K39" i="20"/>
  <c r="J39" i="20"/>
  <c r="AC38" i="20"/>
  <c r="AB38" i="20"/>
  <c r="M38" i="20"/>
  <c r="L38" i="20"/>
  <c r="AA38" i="20" s="1"/>
  <c r="K38" i="20"/>
  <c r="J38" i="20"/>
  <c r="AC37" i="20"/>
  <c r="AB37" i="20"/>
  <c r="M37" i="20"/>
  <c r="L37" i="20"/>
  <c r="AA37" i="20" s="1"/>
  <c r="K37" i="20"/>
  <c r="J37" i="20"/>
  <c r="AC36" i="20"/>
  <c r="AB36" i="20"/>
  <c r="M36" i="20"/>
  <c r="L36" i="20"/>
  <c r="AA36" i="20" s="1"/>
  <c r="K36" i="20"/>
  <c r="J36" i="20"/>
  <c r="AC35" i="20"/>
  <c r="AB35" i="20"/>
  <c r="M35" i="20"/>
  <c r="L35" i="20"/>
  <c r="AA35" i="20" s="1"/>
  <c r="K35" i="20"/>
  <c r="J35" i="20"/>
  <c r="AC34" i="20"/>
  <c r="AB34" i="20"/>
  <c r="M34" i="20"/>
  <c r="L34" i="20"/>
  <c r="AA34" i="20" s="1"/>
  <c r="K34" i="20"/>
  <c r="J34" i="20"/>
  <c r="AC33" i="20"/>
  <c r="AB33" i="20"/>
  <c r="M33" i="20"/>
  <c r="L33" i="20"/>
  <c r="AA33" i="20" s="1"/>
  <c r="K33" i="20"/>
  <c r="J33" i="20"/>
  <c r="AC32" i="20"/>
  <c r="AB32" i="20"/>
  <c r="M32" i="20"/>
  <c r="L32" i="20"/>
  <c r="AA32" i="20" s="1"/>
  <c r="K32" i="20"/>
  <c r="J32" i="20"/>
  <c r="AC31" i="20"/>
  <c r="AB31" i="20"/>
  <c r="M31" i="20"/>
  <c r="L31" i="20"/>
  <c r="AA31" i="20" s="1"/>
  <c r="K31" i="20"/>
  <c r="J31" i="20"/>
  <c r="AC30" i="20"/>
  <c r="AB30" i="20"/>
  <c r="M30" i="20"/>
  <c r="L30" i="20"/>
  <c r="AA30" i="20" s="1"/>
  <c r="K30" i="20"/>
  <c r="J30" i="20"/>
  <c r="AC29" i="20"/>
  <c r="AB29" i="20"/>
  <c r="M29" i="20"/>
  <c r="L29" i="20"/>
  <c r="AA29" i="20" s="1"/>
  <c r="K29" i="20"/>
  <c r="J29" i="20"/>
  <c r="AC28" i="20"/>
  <c r="AB28" i="20"/>
  <c r="M28" i="20"/>
  <c r="L28" i="20"/>
  <c r="AA28" i="20" s="1"/>
  <c r="K28" i="20"/>
  <c r="J28" i="20"/>
  <c r="AC27" i="20"/>
  <c r="AB27" i="20"/>
  <c r="M27" i="20"/>
  <c r="L27" i="20"/>
  <c r="AA27" i="20" s="1"/>
  <c r="K27" i="20"/>
  <c r="J27" i="20"/>
  <c r="AC26" i="20"/>
  <c r="AB26" i="20"/>
  <c r="M26" i="20"/>
  <c r="L26" i="20"/>
  <c r="AA26" i="20" s="1"/>
  <c r="K26" i="20"/>
  <c r="J26" i="20"/>
  <c r="AC25" i="20"/>
  <c r="AB25" i="20"/>
  <c r="M25" i="20"/>
  <c r="L25" i="20"/>
  <c r="AA25" i="20" s="1"/>
  <c r="K25" i="20"/>
  <c r="J25" i="20"/>
  <c r="AC24" i="20"/>
  <c r="AB24" i="20"/>
  <c r="M24" i="20"/>
  <c r="L24" i="20"/>
  <c r="AA24" i="20" s="1"/>
  <c r="K24" i="20"/>
  <c r="J24" i="20"/>
  <c r="AC23" i="20"/>
  <c r="AB23" i="20"/>
  <c r="M23" i="20"/>
  <c r="L23" i="20"/>
  <c r="AA23" i="20" s="1"/>
  <c r="K23" i="20"/>
  <c r="J23" i="20"/>
  <c r="AC22" i="20"/>
  <c r="AB22" i="20"/>
  <c r="M22" i="20"/>
  <c r="L22" i="20"/>
  <c r="AA22" i="20" s="1"/>
  <c r="K22" i="20"/>
  <c r="J22" i="20"/>
  <c r="AC21" i="20"/>
  <c r="AB21" i="20"/>
  <c r="M21" i="20"/>
  <c r="L21" i="20"/>
  <c r="AA21" i="20" s="1"/>
  <c r="K21" i="20"/>
  <c r="J21" i="20"/>
  <c r="AC20" i="20"/>
  <c r="AB20" i="20"/>
  <c r="M20" i="20"/>
  <c r="L20" i="20"/>
  <c r="AA20" i="20" s="1"/>
  <c r="K20" i="20"/>
  <c r="J20" i="20"/>
  <c r="AC19" i="20"/>
  <c r="AB19" i="20"/>
  <c r="M19" i="20"/>
  <c r="L19" i="20"/>
  <c r="AA19" i="20" s="1"/>
  <c r="K19" i="20"/>
  <c r="J19" i="20"/>
  <c r="AC18" i="20"/>
  <c r="AB18" i="20"/>
  <c r="M18" i="20"/>
  <c r="L18" i="20"/>
  <c r="AA18" i="20" s="1"/>
  <c r="K18" i="20"/>
  <c r="J18" i="20"/>
  <c r="AC17" i="20"/>
  <c r="AB17" i="20"/>
  <c r="M17" i="20"/>
  <c r="L17" i="20"/>
  <c r="AA17" i="20" s="1"/>
  <c r="K17" i="20"/>
  <c r="J17" i="20"/>
  <c r="AC16" i="20"/>
  <c r="AB16" i="20"/>
  <c r="M16" i="20"/>
  <c r="L16" i="20"/>
  <c r="AA16" i="20" s="1"/>
  <c r="K16" i="20"/>
  <c r="J16" i="20"/>
  <c r="AC15" i="20"/>
  <c r="AB15" i="20"/>
  <c r="M15" i="20"/>
  <c r="L15" i="20"/>
  <c r="AA15" i="20" s="1"/>
  <c r="K15" i="20"/>
  <c r="J15" i="20"/>
  <c r="AC14" i="20"/>
  <c r="AB14" i="20"/>
  <c r="M14" i="20"/>
  <c r="L14" i="20"/>
  <c r="AA14" i="20" s="1"/>
  <c r="K14" i="20"/>
  <c r="J14" i="20"/>
  <c r="AC13" i="20"/>
  <c r="AB13" i="20"/>
  <c r="M13" i="20"/>
  <c r="L13" i="20"/>
  <c r="AA13" i="20" s="1"/>
  <c r="K13" i="20"/>
  <c r="J13" i="20"/>
  <c r="AC12" i="20"/>
  <c r="AB12" i="20"/>
  <c r="M12" i="20"/>
  <c r="L12" i="20"/>
  <c r="AA12" i="20" s="1"/>
  <c r="K12" i="20"/>
  <c r="J12" i="20"/>
  <c r="AC11" i="20"/>
  <c r="AB11" i="20"/>
  <c r="M11" i="20"/>
  <c r="L11" i="20"/>
  <c r="AA11" i="20" s="1"/>
  <c r="K11" i="20"/>
  <c r="J11" i="20"/>
  <c r="AC10" i="20"/>
  <c r="AB10" i="20"/>
  <c r="M10" i="20"/>
  <c r="L10" i="20"/>
  <c r="AA10" i="20" s="1"/>
  <c r="K10" i="20"/>
  <c r="J10" i="20"/>
  <c r="AC9" i="20"/>
  <c r="AB9" i="20"/>
  <c r="M9" i="20"/>
  <c r="L9" i="20"/>
  <c r="AA9" i="20" s="1"/>
  <c r="K9" i="20"/>
  <c r="J9" i="20"/>
  <c r="AC8" i="20"/>
  <c r="AB8" i="20"/>
  <c r="M8" i="20"/>
  <c r="L8" i="20"/>
  <c r="AA8" i="20" s="1"/>
  <c r="K8" i="20"/>
  <c r="J8" i="20"/>
  <c r="AC7" i="20"/>
  <c r="AB7" i="20"/>
  <c r="M7" i="20"/>
  <c r="L7" i="20"/>
  <c r="AA7" i="20" s="1"/>
  <c r="K7" i="20"/>
  <c r="J7" i="20"/>
  <c r="AC6" i="20"/>
  <c r="AB6" i="20"/>
  <c r="M6" i="20"/>
  <c r="L6" i="20"/>
  <c r="AA6" i="20" s="1"/>
  <c r="K6" i="20"/>
  <c r="J6" i="20"/>
  <c r="AC5" i="20"/>
  <c r="AB5" i="20"/>
  <c r="M5" i="20"/>
  <c r="L5" i="20"/>
  <c r="AA5" i="20" s="1"/>
  <c r="K5" i="20"/>
  <c r="J5" i="20"/>
  <c r="AC4" i="20"/>
  <c r="AB4" i="20"/>
  <c r="M4" i="20"/>
  <c r="L4" i="20"/>
  <c r="AA4" i="20" s="1"/>
  <c r="K4" i="20"/>
  <c r="J4" i="20"/>
  <c r="AC3" i="20"/>
  <c r="AB3" i="20"/>
  <c r="M3" i="20"/>
  <c r="L3" i="20"/>
  <c r="AA3" i="20" s="1"/>
  <c r="K3" i="20"/>
  <c r="J3" i="20"/>
  <c r="AT170" i="19" l="1"/>
  <c r="AN170" i="19"/>
  <c r="AZ170" i="19"/>
  <c r="AW170" i="19"/>
  <c r="AT168" i="19"/>
  <c r="AQ168" i="19"/>
  <c r="BD163" i="19"/>
  <c r="BD161" i="19"/>
  <c r="BC162" i="19"/>
  <c r="F144" i="21" s="1"/>
  <c r="BD162" i="19"/>
  <c r="BD164" i="19"/>
  <c r="BC163" i="19"/>
  <c r="F145" i="21" s="1"/>
  <c r="BC164" i="19"/>
  <c r="BC161" i="19"/>
  <c r="F143" i="21" s="1"/>
  <c r="AZ169" i="19"/>
  <c r="AQ169" i="19"/>
  <c r="AN169" i="19"/>
  <c r="AW169" i="19"/>
  <c r="F146" i="21"/>
  <c r="AT169" i="19"/>
  <c r="C147" i="21"/>
  <c r="F147" i="21" s="1"/>
  <c r="AK169" i="19"/>
  <c r="I131" i="21"/>
  <c r="C64" i="21"/>
  <c r="F64" i="21" s="1"/>
  <c r="AB70" i="19"/>
  <c r="AB71" i="19" s="1"/>
  <c r="X70" i="19"/>
  <c r="X71" i="19" s="1"/>
  <c r="T70" i="19"/>
  <c r="T71" i="19" s="1"/>
  <c r="D190" i="21" s="1"/>
  <c r="P70" i="19"/>
  <c r="P71" i="19" s="1"/>
  <c r="L70" i="19"/>
  <c r="C53" i="21"/>
  <c r="F53" i="21" s="1"/>
  <c r="C54" i="21"/>
  <c r="F54" i="21" s="1"/>
  <c r="C115" i="21"/>
  <c r="F115" i="21" s="1"/>
  <c r="C114" i="21"/>
  <c r="F114" i="21" s="1"/>
  <c r="C118" i="21"/>
  <c r="F118" i="21" s="1"/>
  <c r="C122" i="21"/>
  <c r="F122" i="21" s="1"/>
  <c r="C123" i="21"/>
  <c r="F123" i="21" s="1"/>
  <c r="C102" i="21"/>
  <c r="F102" i="21" s="1"/>
  <c r="C90" i="21"/>
  <c r="F90" i="21" s="1"/>
  <c r="C33" i="21"/>
  <c r="F33" i="21" s="1"/>
  <c r="C119" i="21"/>
  <c r="F119" i="21" s="1"/>
  <c r="C148" i="21"/>
  <c r="F148" i="21" s="1"/>
  <c r="C120" i="21"/>
  <c r="F120" i="21" s="1"/>
  <c r="C103" i="21"/>
  <c r="F103" i="21" s="1"/>
  <c r="C121" i="21"/>
  <c r="F121" i="21" s="1"/>
  <c r="C45" i="21"/>
  <c r="F45" i="21" s="1"/>
  <c r="C104" i="21"/>
  <c r="F104" i="21" s="1"/>
  <c r="C34" i="21"/>
  <c r="F34" i="21" s="1"/>
  <c r="C18" i="21"/>
  <c r="F18" i="21" s="1"/>
  <c r="C99" i="21"/>
  <c r="F99" i="21" s="1"/>
  <c r="C36" i="21"/>
  <c r="F36" i="21" s="1"/>
  <c r="C38" i="21"/>
  <c r="F38" i="21" s="1"/>
  <c r="C98" i="21"/>
  <c r="F98" i="21" s="1"/>
  <c r="C19" i="21"/>
  <c r="F19" i="21" s="1"/>
  <c r="C35" i="21"/>
  <c r="F35" i="21" s="1"/>
  <c r="C100" i="21"/>
  <c r="F100" i="21" s="1"/>
  <c r="C40" i="21"/>
  <c r="F40" i="21" s="1"/>
  <c r="C85" i="21"/>
  <c r="F85" i="21" s="1"/>
  <c r="C82" i="21"/>
  <c r="F82" i="21" s="1"/>
  <c r="C127" i="21"/>
  <c r="F127" i="21" s="1"/>
  <c r="C106" i="21"/>
  <c r="F106" i="21" s="1"/>
  <c r="C29" i="21"/>
  <c r="F29" i="21" s="1"/>
  <c r="C70" i="21"/>
  <c r="F70" i="21" s="1"/>
  <c r="C55" i="21"/>
  <c r="F55" i="21" s="1"/>
  <c r="C37" i="21"/>
  <c r="F37" i="21" s="1"/>
  <c r="C10" i="21"/>
  <c r="F10" i="21" s="1"/>
  <c r="C48" i="21"/>
  <c r="F48" i="21" s="1"/>
  <c r="C11" i="21"/>
  <c r="F11" i="21" s="1"/>
  <c r="C31" i="21"/>
  <c r="F31" i="21" s="1"/>
  <c r="C72" i="21"/>
  <c r="F72" i="21" s="1"/>
  <c r="C116" i="21"/>
  <c r="F116" i="21" s="1"/>
  <c r="C47" i="21"/>
  <c r="F47" i="21" s="1"/>
  <c r="C39" i="21"/>
  <c r="F39" i="21" s="1"/>
  <c r="F130" i="21"/>
  <c r="C30" i="21"/>
  <c r="F30" i="21" s="1"/>
  <c r="C71" i="21"/>
  <c r="F71" i="21" s="1"/>
  <c r="C80" i="21"/>
  <c r="F80" i="21" s="1"/>
  <c r="C32" i="21"/>
  <c r="F32" i="21" s="1"/>
  <c r="C50" i="21"/>
  <c r="F50" i="21" s="1"/>
  <c r="C117" i="21"/>
  <c r="F117" i="21" s="1"/>
  <c r="C66" i="21"/>
  <c r="F66" i="21" s="1"/>
  <c r="C101" i="21"/>
  <c r="F101" i="21" s="1"/>
  <c r="C17" i="21"/>
  <c r="F17" i="21" s="1"/>
  <c r="C16" i="21"/>
  <c r="F16" i="21" s="1"/>
  <c r="C79" i="21"/>
  <c r="F79" i="21" s="1"/>
  <c r="C41" i="21"/>
  <c r="F41" i="21" s="1"/>
  <c r="C15" i="21"/>
  <c r="F15" i="21" s="1"/>
  <c r="C5" i="21"/>
  <c r="F5" i="21" s="1"/>
  <c r="C42" i="21"/>
  <c r="F42" i="21" s="1"/>
  <c r="C89" i="21"/>
  <c r="F89" i="21" s="1"/>
  <c r="C51" i="21"/>
  <c r="F51" i="21" s="1"/>
  <c r="C126" i="21"/>
  <c r="F126" i="21" s="1"/>
  <c r="C125" i="21"/>
  <c r="F125" i="21" s="1"/>
  <c r="C84" i="21"/>
  <c r="F84" i="21" s="1"/>
  <c r="C128" i="21"/>
  <c r="F128" i="21" s="1"/>
  <c r="C76" i="21"/>
  <c r="F76" i="21" s="1"/>
  <c r="I134" i="21"/>
  <c r="I138" i="21"/>
  <c r="C7" i="21"/>
  <c r="F7" i="21" s="1"/>
  <c r="C44" i="21"/>
  <c r="F44" i="21" s="1"/>
  <c r="C86" i="21"/>
  <c r="F86" i="21" s="1"/>
  <c r="F129" i="21"/>
  <c r="C91" i="21"/>
  <c r="F91" i="21" s="1"/>
  <c r="C107" i="21"/>
  <c r="F107" i="21" s="1"/>
  <c r="C12" i="21"/>
  <c r="F12" i="21" s="1"/>
  <c r="C77" i="21"/>
  <c r="F77" i="21" s="1"/>
  <c r="I135" i="21"/>
  <c r="C14" i="21"/>
  <c r="F14" i="21" s="1"/>
  <c r="C81" i="21"/>
  <c r="F81" i="21" s="1"/>
  <c r="C105" i="21"/>
  <c r="F105" i="21" s="1"/>
  <c r="C75" i="21"/>
  <c r="F75" i="21" s="1"/>
  <c r="C74" i="21"/>
  <c r="F74" i="21" s="1"/>
  <c r="C124" i="21"/>
  <c r="F124" i="21" s="1"/>
  <c r="I133" i="21"/>
  <c r="C6" i="21"/>
  <c r="F6" i="21" s="1"/>
  <c r="C43" i="21"/>
  <c r="F43" i="21" s="1"/>
  <c r="C67" i="21"/>
  <c r="F67" i="21" s="1"/>
  <c r="C52" i="21"/>
  <c r="F52" i="21" s="1"/>
  <c r="C68" i="21"/>
  <c r="F68" i="21" s="1"/>
  <c r="C46" i="21"/>
  <c r="F46" i="21" s="1"/>
  <c r="C69" i="21"/>
  <c r="F69" i="21" s="1"/>
  <c r="C113" i="21"/>
  <c r="F113" i="21" s="1"/>
  <c r="C13" i="21"/>
  <c r="F13" i="21" s="1"/>
  <c r="C78" i="21"/>
  <c r="F78" i="21" s="1"/>
  <c r="I136" i="21"/>
  <c r="I132" i="21"/>
  <c r="I139" i="21"/>
  <c r="C8" i="21"/>
  <c r="F8" i="21" s="1"/>
  <c r="C108" i="21"/>
  <c r="F108" i="21" s="1"/>
  <c r="C92" i="21"/>
  <c r="F92" i="21" s="1"/>
  <c r="I140" i="21"/>
  <c r="C9" i="21"/>
  <c r="F9" i="21" s="1"/>
  <c r="C109" i="21"/>
  <c r="F109" i="21" s="1"/>
  <c r="C93" i="21"/>
  <c r="F93" i="21" s="1"/>
  <c r="I137" i="21"/>
  <c r="I141" i="21"/>
  <c r="C110" i="21"/>
  <c r="F110" i="21" s="1"/>
  <c r="C94" i="21"/>
  <c r="F94" i="21" s="1"/>
  <c r="C49" i="21"/>
  <c r="F49" i="21" s="1"/>
  <c r="C111" i="21"/>
  <c r="F111" i="21" s="1"/>
  <c r="C95" i="21"/>
  <c r="F95" i="21" s="1"/>
  <c r="C73" i="21"/>
  <c r="F73" i="21" s="1"/>
  <c r="C112" i="21"/>
  <c r="F112" i="21" s="1"/>
  <c r="C96" i="21"/>
  <c r="F96" i="21" s="1"/>
  <c r="C97" i="21"/>
  <c r="F97" i="21" s="1"/>
  <c r="I142" i="21"/>
  <c r="C65" i="21"/>
  <c r="F65" i="21" s="1"/>
  <c r="AK170" i="19"/>
  <c r="R154" i="19"/>
  <c r="R155" i="19"/>
  <c r="R156" i="19"/>
  <c r="R157" i="19"/>
  <c r="R158" i="19"/>
  <c r="D69" i="19" s="1"/>
  <c r="D24" i="19" s="1"/>
  <c r="R153" i="19"/>
  <c r="Q162" i="19"/>
  <c r="R162" i="19"/>
  <c r="Q161" i="19"/>
  <c r="O161" i="19"/>
  <c r="R161" i="19" s="1"/>
  <c r="Q160" i="19"/>
  <c r="O160" i="19"/>
  <c r="R160" i="19" s="1"/>
  <c r="Q159" i="19"/>
  <c r="O159" i="19"/>
  <c r="R159" i="19" s="1"/>
  <c r="C145" i="21" l="1"/>
  <c r="C144" i="21"/>
  <c r="C143" i="21"/>
  <c r="C146" i="21"/>
  <c r="H69" i="19"/>
  <c r="H32" i="19" s="1"/>
  <c r="C150" i="21"/>
  <c r="F150" i="21" s="1"/>
  <c r="H33" i="19"/>
  <c r="C187" i="21" s="1"/>
  <c r="T33" i="19"/>
  <c r="C190" i="21" s="1"/>
  <c r="AB33" i="19"/>
  <c r="C192" i="21" s="1"/>
  <c r="X33" i="19"/>
  <c r="C191" i="21" s="1"/>
  <c r="P33" i="19"/>
  <c r="C189" i="21" s="1"/>
  <c r="L33" i="19"/>
  <c r="C188" i="21" s="1"/>
  <c r="H152" i="19"/>
  <c r="G152" i="19"/>
  <c r="D189" i="21" s="1"/>
  <c r="H153" i="19"/>
  <c r="G153" i="19"/>
  <c r="H154" i="19"/>
  <c r="G154" i="19"/>
  <c r="G155" i="19"/>
  <c r="H155" i="19"/>
  <c r="F131" i="21"/>
  <c r="F139" i="21"/>
  <c r="F133" i="21"/>
  <c r="F138" i="21"/>
  <c r="F132" i="21"/>
  <c r="F136" i="21"/>
  <c r="F141" i="21"/>
  <c r="F137" i="21"/>
  <c r="F135" i="21"/>
  <c r="F134" i="21"/>
  <c r="F140" i="21"/>
  <c r="F142" i="21"/>
  <c r="B192" i="21"/>
  <c r="B191" i="21"/>
  <c r="B189" i="21"/>
  <c r="L71" i="19"/>
  <c r="B190" i="21"/>
  <c r="H70" i="19"/>
  <c r="C151" i="21"/>
  <c r="F151" i="21" s="1"/>
  <c r="C149" i="21"/>
  <c r="F149" i="21" s="1"/>
  <c r="AB69" i="19"/>
  <c r="AB32" i="19" s="1"/>
  <c r="T69" i="19"/>
  <c r="T32" i="19" s="1"/>
  <c r="P69" i="19"/>
  <c r="P32" i="19" s="1"/>
  <c r="X69" i="19"/>
  <c r="X32" i="19" s="1"/>
  <c r="L69" i="19"/>
  <c r="L32" i="19" s="1"/>
  <c r="C186" i="21" l="1"/>
  <c r="C183" i="21" s="1"/>
  <c r="B188" i="21"/>
  <c r="H151" i="19"/>
  <c r="G151" i="19"/>
  <c r="D188" i="21" s="1"/>
  <c r="F180" i="21"/>
  <c r="H71" i="19"/>
  <c r="C185" i="21" l="1"/>
  <c r="C181" i="21"/>
  <c r="C182" i="21"/>
  <c r="B187" i="21"/>
  <c r="H150" i="19"/>
  <c r="G150" i="19"/>
  <c r="D187" i="2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AAC768-5D7E-42A9-A305-DF36525AB339}" sourceFile="C:\Users\napsa\OneDrive\Desktop\ЕКФ\price.xlsx" keepAlive="1" name="price" type="5" refreshedVersion="8" background="1">
    <dbPr connection="Provider=Microsoft.ACE.OLEDB.12.0;User ID=Admin;Data Source=C:\Users\napsa\OneDrive\Desktop\ЕКФ\price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Продукция EKF$'" commandType="3"/>
  </connection>
</connections>
</file>

<file path=xl/sharedStrings.xml><?xml version="1.0" encoding="utf-8"?>
<sst xmlns="http://schemas.openxmlformats.org/spreadsheetml/2006/main" count="7352" uniqueCount="1043">
  <si>
    <t>Номенклатура</t>
  </si>
  <si>
    <t>Артикул</t>
  </si>
  <si>
    <t>Ссылка</t>
  </si>
  <si>
    <t>шт</t>
  </si>
  <si>
    <t>Нет</t>
  </si>
  <si>
    <t>Регулярная</t>
  </si>
  <si>
    <t>Averes</t>
  </si>
  <si>
    <t>Заказная</t>
  </si>
  <si>
    <t>PROxima</t>
  </si>
  <si>
    <t>Да</t>
  </si>
  <si>
    <t>EKF</t>
  </si>
  <si>
    <t>упак.</t>
  </si>
  <si>
    <t>14 Шкафы напольные металлические</t>
  </si>
  <si>
    <t>14.02 Шкафы ВРУ Unit и ЩО-70 Unit</t>
  </si>
  <si>
    <t>14.02.01 Комплектация для серии Unit</t>
  </si>
  <si>
    <t>BSCE3045C</t>
  </si>
  <si>
    <t>Щеточный буртик на алюминиевом держателе 300*45 ЕKF (2шт)</t>
  </si>
  <si>
    <t>BSCE4045C</t>
  </si>
  <si>
    <t>Щеточный буртик на алюминиевом держателе 400*45 ЕKF (2шт)</t>
  </si>
  <si>
    <t>AleSta-RB34</t>
  </si>
  <si>
    <t>Комплект крыша и оcнование 300x400 EKF AleSta</t>
  </si>
  <si>
    <t>14.09 Функциональные оболочки AleSta EKF</t>
  </si>
  <si>
    <t>14.09.01 Комплекты «Крыша-основание» AleSta</t>
  </si>
  <si>
    <t>AleSta-RB44</t>
  </si>
  <si>
    <t>Комплект крыша и оcнование 400x400 EKF AleSta</t>
  </si>
  <si>
    <t>AleSta-RB36</t>
  </si>
  <si>
    <t>Комплект крыша и основание 300x600 EKF AleSta</t>
  </si>
  <si>
    <t>AleSta-RB38</t>
  </si>
  <si>
    <t>Комплект крыша и основание 300x800 EKF AleSta</t>
  </si>
  <si>
    <t>AleSta-RB46</t>
  </si>
  <si>
    <t>Комплект крыша и основание 400x600 EKF AleSta</t>
  </si>
  <si>
    <t>AleSta-RB48</t>
  </si>
  <si>
    <t>Комплект крыша и основание 400x800 EKF AleSta</t>
  </si>
  <si>
    <t>AleSta-RB64</t>
  </si>
  <si>
    <t>Комплект крыша и основание 600x400 EKF AleSta</t>
  </si>
  <si>
    <t>AleSta-RB66</t>
  </si>
  <si>
    <t>Комплект крыша и основание 600x600 EKF AleSta</t>
  </si>
  <si>
    <t>AleSta-RB68</t>
  </si>
  <si>
    <t>Комплект крыша и основание 600x800 EKF AleSta</t>
  </si>
  <si>
    <t>AleSta-RB84</t>
  </si>
  <si>
    <t>Комплект крыша и основание 800x400 EKF AleSta</t>
  </si>
  <si>
    <t>AleSta-RB86</t>
  </si>
  <si>
    <t>Комплект крыша и основание 800x600 EKF AleSta</t>
  </si>
  <si>
    <t>AleSta-RB88</t>
  </si>
  <si>
    <t>Комплект крыша и основание 800x800 EKF AleSta</t>
  </si>
  <si>
    <t>AleSta-VG1800</t>
  </si>
  <si>
    <t>Стойки вертикальные, В=1800мм (4шт) EKF AleSta</t>
  </si>
  <si>
    <t>14.09.02 Стойки</t>
  </si>
  <si>
    <t>AleSta-VG2000</t>
  </si>
  <si>
    <t>Стойки вертикальные, В=2000мм (4шт) EKF AleSta</t>
  </si>
  <si>
    <t>AleSta-VG2200</t>
  </si>
  <si>
    <t>Стойки вертикальные, В=2200мм (4шт) EKF AleSta</t>
  </si>
  <si>
    <t>AleSta-PS184</t>
  </si>
  <si>
    <t>Боковые панели 1800x400 (2 шт) EKF AleSta</t>
  </si>
  <si>
    <t>14.09.03 Внешние панели</t>
  </si>
  <si>
    <t>AleSta-PS186</t>
  </si>
  <si>
    <t>Боковые панели 1800x600 (2 шт) EKF AleSta</t>
  </si>
  <si>
    <t>AleSta-PS188</t>
  </si>
  <si>
    <t>Боковые панели 1800x800 (2 шт) EKF AleSta</t>
  </si>
  <si>
    <t>AleSta-PS204</t>
  </si>
  <si>
    <t>Боковые панели 2000x400 (2 шт) EKF AleSta</t>
  </si>
  <si>
    <t>AleSta-PS206</t>
  </si>
  <si>
    <t>Боковые панели 2000x600 (2 шт) EKF AleSta</t>
  </si>
  <si>
    <t>AleSta-PS208</t>
  </si>
  <si>
    <t>Боковые панели 2000x800 (2 шт) EKF AleSta</t>
  </si>
  <si>
    <t>AleSta-PS224</t>
  </si>
  <si>
    <t>Боковые панели 2200x400 (2 шт) EKF AleSta</t>
  </si>
  <si>
    <t>AleSta-PS226</t>
  </si>
  <si>
    <t>Боковые панели 2200x600 (2 шт) EKF AleSta</t>
  </si>
  <si>
    <t>AleSta-PS228</t>
  </si>
  <si>
    <t>Боковые панели 2200x800 (2 шт) EKF AleSta</t>
  </si>
  <si>
    <t>AleSta-PR183</t>
  </si>
  <si>
    <t>Панель задняя, для шкафов 1800 x 300 EKF AleSta</t>
  </si>
  <si>
    <t>AleSta-PR184</t>
  </si>
  <si>
    <t>Панель задняя, для шкафов 1800 x 400 EKF AleSta</t>
  </si>
  <si>
    <t>AleSta-PR186</t>
  </si>
  <si>
    <t>Панель задняя, для шкафов 1800 x 600 EKF AleSta</t>
  </si>
  <si>
    <t>AleSta-PR188</t>
  </si>
  <si>
    <t>Панель задняя, для шкафов 1800 x 800 EKF AleSta</t>
  </si>
  <si>
    <t>AleSta-PR203</t>
  </si>
  <si>
    <t>Панель задняя, для шкафов 2000 x 300 EKF AleSta</t>
  </si>
  <si>
    <t>AleSta-PR204</t>
  </si>
  <si>
    <t>Панель задняя, для шкафов 2000 x 400 EKF AleSta</t>
  </si>
  <si>
    <t>AleSta-PR206</t>
  </si>
  <si>
    <t>Панель задняя, для шкафов 2000 x 600 EKF AleSta</t>
  </si>
  <si>
    <t>AleSta-PR208</t>
  </si>
  <si>
    <t>Панель задняя, для шкафов 2000 x 800 EKF AleSta</t>
  </si>
  <si>
    <t>AleSta-PR223</t>
  </si>
  <si>
    <t>Панель задняя, для шкафов 2200 x 300 EKF AleSta</t>
  </si>
  <si>
    <t>AleSta-PR224</t>
  </si>
  <si>
    <t>Панель задняя, для шкафов 2200 x 400 EKF AleSta</t>
  </si>
  <si>
    <t>AleSta-PR226</t>
  </si>
  <si>
    <t>Панель задняя, для шкафов 2200 x 600 EKF AleSta</t>
  </si>
  <si>
    <t>AleSta-PR228</t>
  </si>
  <si>
    <t>Панель задняя, для шкафов 2200 x 800 EKF AleSta</t>
  </si>
  <si>
    <t>AleSta-D18M300</t>
  </si>
  <si>
    <t>Дверь сплошная для шкафов ВхШ 1800х300 EKF AleSta</t>
  </si>
  <si>
    <t>14.09.04 Двери AleSta</t>
  </si>
  <si>
    <t>AleSta-D18M400</t>
  </si>
  <si>
    <t>Дверь сплошная для шкафов ВхШ 1800х400 EKF AleSta</t>
  </si>
  <si>
    <t>AleSta-D18M600</t>
  </si>
  <si>
    <t>Дверь сплошная для шкафов ВхШ 1800х600 EKF AleSta</t>
  </si>
  <si>
    <t>AleSta-D18M800</t>
  </si>
  <si>
    <t>Дверь сплошная для шкафов ВхШ 1800х800 EKF AleSta</t>
  </si>
  <si>
    <t>AleSta-D20M300</t>
  </si>
  <si>
    <t>Дверь сплошная для шкафов ВхШ 2000х300 EKF AleSta</t>
  </si>
  <si>
    <t>AleSta-D20M400</t>
  </si>
  <si>
    <t>Дверь сплошная для шкафов ВхШ 2000х400 EKF AleSta</t>
  </si>
  <si>
    <t>AleSta-D20M600</t>
  </si>
  <si>
    <t>Дверь сплошная для шкафов ВхШ 2000х600 EKF AleSta</t>
  </si>
  <si>
    <t>AleSta-D20M800</t>
  </si>
  <si>
    <t>Дверь сплошная для шкафов ВхШ 2000х800 EKF AleSta</t>
  </si>
  <si>
    <t>AleSta-D22M300</t>
  </si>
  <si>
    <t>Дверь сплошная для шкафов ВхШ 2200х300 EKF AleSta</t>
  </si>
  <si>
    <t>AleSta-D22M400</t>
  </si>
  <si>
    <t>Дверь сплошная для шкафов ВхШ 2200х400 EKF AleSta</t>
  </si>
  <si>
    <t>AleSta-D22M600</t>
  </si>
  <si>
    <t>Дверь сплошная для шкафов ВхШ 2200х600 EKF AleSta</t>
  </si>
  <si>
    <t>AleSta-D22M800</t>
  </si>
  <si>
    <t>Дверь сплошная для шкафов ВхШ 2200х800 EKF AleSta</t>
  </si>
  <si>
    <t>AleSta-ARM400</t>
  </si>
  <si>
    <t>Рейка монтажная перфорированная Д400 (2 шт) EKF AleSta</t>
  </si>
  <si>
    <t>14.09.05 Монтажные рейки</t>
  </si>
  <si>
    <t>AleSta-ARM600</t>
  </si>
  <si>
    <t>Рейка монтажная перфорированная Д600 (2 шт) EKF AleSta</t>
  </si>
  <si>
    <t>AleSta-ARM800</t>
  </si>
  <si>
    <t>Рейка монтажная перфорированная Д800 (2 шт) EKF AleSta</t>
  </si>
  <si>
    <t>AleSta-ALR4M12</t>
  </si>
  <si>
    <t>Рым-болты (4 шт.) М12 EKF AleSta</t>
  </si>
  <si>
    <t>AleSta-MP18MP400</t>
  </si>
  <si>
    <t>Монтажная панель В1800 Ш400 глухая EKF AleSta</t>
  </si>
  <si>
    <t>14.09.06 Монтажные панели</t>
  </si>
  <si>
    <t>AleSta-MP18MP600</t>
  </si>
  <si>
    <t>Монтажная панель В1800 Ш600 глухая EKF AleSta</t>
  </si>
  <si>
    <t>AleSta-MP18MP800</t>
  </si>
  <si>
    <t>Монтажная панель В1800 Ш800 глухая EKF AleSta</t>
  </si>
  <si>
    <t>AleSta-MP20MP400</t>
  </si>
  <si>
    <t>Монтажная панель В2000 Ш400 глухая EKF AleSta</t>
  </si>
  <si>
    <t>AleSta-MP20MP600</t>
  </si>
  <si>
    <t>Монтажная панель В2000 Ш600 глухая EKF AleSta</t>
  </si>
  <si>
    <t>AleSta-MP20MP800</t>
  </si>
  <si>
    <t>Монтажная панель В2000 Ш800 глухая EKF AleSta</t>
  </si>
  <si>
    <t>AleSta-MP22MP400</t>
  </si>
  <si>
    <t>Монтажная панель В2200 Ш400 глухая EKF AleSta</t>
  </si>
  <si>
    <t>AleSta-MP22MP600</t>
  </si>
  <si>
    <t>Монтажная панель В2200 Ш600 глухая EKF AleSta</t>
  </si>
  <si>
    <t>AleSta-MP22MP800</t>
  </si>
  <si>
    <t>Монтажная панель В2200 Ш800 глухая EKF AleSta</t>
  </si>
  <si>
    <t>AleSta-MP3M400</t>
  </si>
  <si>
    <t>Монтажная панель В300 Ш400 глухая EKF AleSta</t>
  </si>
  <si>
    <t>AleSta-MP3M600</t>
  </si>
  <si>
    <t>Монтажная панель В300 Ш600 глухая EKF AleSta</t>
  </si>
  <si>
    <t>AleSta-MP3M800</t>
  </si>
  <si>
    <t>Монтажная панель В300 Ш800 глухая EKF AleSta</t>
  </si>
  <si>
    <t>AleSta-MP6M400</t>
  </si>
  <si>
    <t>Монтажная панель В600 Ш400 глухая EKF AleSta</t>
  </si>
  <si>
    <t>AleSta-MP6M600</t>
  </si>
  <si>
    <t>Монтажная панель В600 Ш600 глухая EKF AleSta</t>
  </si>
  <si>
    <t>AleSta-MP6M800</t>
  </si>
  <si>
    <t>Монтажная панель В600 Ш800 глухая EKF AleSta</t>
  </si>
  <si>
    <t>AleSta-MP9M400</t>
  </si>
  <si>
    <t>Монтажная панель В900 Ш400 глухая EKF AleSta</t>
  </si>
  <si>
    <t>AleSta-MP9M600</t>
  </si>
  <si>
    <t>Монтажная панель В900 Ш600 глухая EKF AleSta</t>
  </si>
  <si>
    <t>AleSta-MP9M800</t>
  </si>
  <si>
    <t>Монтажная панель В900 Ш800 глухая EKF AleSta</t>
  </si>
  <si>
    <t>AleSta-FPH10</t>
  </si>
  <si>
    <t>Держатель пластронов В100 (2 шт) EKF AleSta</t>
  </si>
  <si>
    <t>14.09.07 Пластроны</t>
  </si>
  <si>
    <t>AleSta-FPH180</t>
  </si>
  <si>
    <t>Держатель пластронов В1800 (2 шт) EKF AleSta</t>
  </si>
  <si>
    <t>AleSta-FPH200</t>
  </si>
  <si>
    <t>Держатель пластронов В2000 (2 шт) EKF AleSta</t>
  </si>
  <si>
    <t>AleSta-FPH220</t>
  </si>
  <si>
    <t>Держатель пластронов В2200 (2 шт) EKF AleSta</t>
  </si>
  <si>
    <t>AleSta-FPH5</t>
  </si>
  <si>
    <t>Держатель пластронов В50 (2 шт) EKF AleSta</t>
  </si>
  <si>
    <t>AleSta-FPH60</t>
  </si>
  <si>
    <t>Держатель пластронов В600 (2 шт) EKF AleSta</t>
  </si>
  <si>
    <t>AleSta-FP10M300</t>
  </si>
  <si>
    <t>Пластрон В100 Ш300 EKF AleSta</t>
  </si>
  <si>
    <t>AleSta-FP10M400</t>
  </si>
  <si>
    <t>Пластрон В100 Ш400 EKF AleSta</t>
  </si>
  <si>
    <t>AleSta-FP10M600</t>
  </si>
  <si>
    <t>Пластрон В100 Ш600 EKF AleSta</t>
  </si>
  <si>
    <t>AleSta-FP10M800</t>
  </si>
  <si>
    <t>Пластрон В100 Ш800 EKF AleSta</t>
  </si>
  <si>
    <t>AleSta-FP180M300</t>
  </si>
  <si>
    <t>Пластрон В1800 Ш300 EKF AleSta</t>
  </si>
  <si>
    <t>AleSta-FP200M300</t>
  </si>
  <si>
    <t>Пластрон В2000 Ш300 EKF AleSta</t>
  </si>
  <si>
    <t>AleSta-FP220M300</t>
  </si>
  <si>
    <t>Пластрон В2200 Ш300 EKF AleSta</t>
  </si>
  <si>
    <t>AleSta-FP5M300</t>
  </si>
  <si>
    <t>Пластрон В50 Ш300 EKF AleSta</t>
  </si>
  <si>
    <t>AleSta-FP5M400</t>
  </si>
  <si>
    <t>Пластрон В50 Ш400 EKF AleSta</t>
  </si>
  <si>
    <t>AleSta-FP5M600</t>
  </si>
  <si>
    <t>Пластрон В50 Ш600 EKF AleSta</t>
  </si>
  <si>
    <t>AleSta-FP5M800</t>
  </si>
  <si>
    <t>Пластрон В50 Ш800 EKF AleSta</t>
  </si>
  <si>
    <t>AleSta-FP60M300</t>
  </si>
  <si>
    <t>Пластрон В600 Ш300 EKF AleSta</t>
  </si>
  <si>
    <t>AleSta-FP60M400</t>
  </si>
  <si>
    <t>Пластрон В600 Ш400 EKF AleSta</t>
  </si>
  <si>
    <t>AleSta-FP60M600</t>
  </si>
  <si>
    <t>Пластрон В600 Ш600 EKF AleSta</t>
  </si>
  <si>
    <t>AleSta-FP60M800</t>
  </si>
  <si>
    <t>Пластрон В600 Ш800 EKF AleSta</t>
  </si>
  <si>
    <t>AleSta-FPFU2040</t>
  </si>
  <si>
    <t>Пластрон с вырезом для модульных устройств В200 Ш400 мм EKF AleSta</t>
  </si>
  <si>
    <t>AleSta-FPFU2060</t>
  </si>
  <si>
    <t>Пластрон с вырезом для модульных устройств В200 Ш600 мм EKF AleSta</t>
  </si>
  <si>
    <t>AleSta-FPFU2080</t>
  </si>
  <si>
    <t>Пластрон с вырезом для модульных устройств В200 Ш800 мм EKF AleSta</t>
  </si>
  <si>
    <t>AleSta-PCV34</t>
  </si>
  <si>
    <t>Панели боковые для секционирования В300 Г400 мм (2 шт) EKF AleSta</t>
  </si>
  <si>
    <t>14.09.08 Секционирование</t>
  </si>
  <si>
    <t>AleSta-PCV36</t>
  </si>
  <si>
    <t>Панели боковые для секционирования В300 Г600 мм (2 шт) EKF AleSta</t>
  </si>
  <si>
    <t>AleSta-PCV38</t>
  </si>
  <si>
    <t>Панели боковые для секционирования В300 Г800 мм (2 шт) EKF AleSta</t>
  </si>
  <si>
    <t>AleSta-PCV64</t>
  </si>
  <si>
    <t>Панели боковые для секционирования В600 Г400 мм (2 шт) EKF AleSta</t>
  </si>
  <si>
    <t>AleSta-PCV66</t>
  </si>
  <si>
    <t>Панели боковые для секционирования В600 Г600 мм (2 шт) EKF AleSta</t>
  </si>
  <si>
    <t>AleSta-PCV68</t>
  </si>
  <si>
    <t>Панели боковые для секционирования В600 Г800 мм (2 шт) EKF AleSta</t>
  </si>
  <si>
    <t>AleSta-PCV184</t>
  </si>
  <si>
    <t>Панель вертикальная для секционирования В1800 Г400 мм EKF AleSta</t>
  </si>
  <si>
    <t>AleSta-PCV186</t>
  </si>
  <si>
    <t>Панель вертикальная для секционирования В1800 Г600 мм EKF AleSta</t>
  </si>
  <si>
    <t>AleSta-PCV188</t>
  </si>
  <si>
    <t>Панель вертикальная для секционирования В1800 Г800 мм EKF AleSta</t>
  </si>
  <si>
    <t>AleSta-PCV204</t>
  </si>
  <si>
    <t>Панель вертикальная для секционирования В2000 Г400 мм EKF AleSta</t>
  </si>
  <si>
    <t>AleSta-PCV206</t>
  </si>
  <si>
    <t>Панель вертикальная для секционирования В2000 Г600 мм EKF AleSta</t>
  </si>
  <si>
    <t>AleSta-PCV208</t>
  </si>
  <si>
    <t>Панель вертикальная для секционирования В2000 Г800 мм EKF AleSta</t>
  </si>
  <si>
    <t>AleSta-PCV224</t>
  </si>
  <si>
    <t>Панель вертикальная для секционирования В2200 Г400 мм EKF AleSta</t>
  </si>
  <si>
    <t>AleSta-PCV226</t>
  </si>
  <si>
    <t>Панель вертикальная для секционирования В2200 Г600 мм EKF AleSta</t>
  </si>
  <si>
    <t>AleSta-PCV228</t>
  </si>
  <si>
    <t>Панель вертикальная для секционирования В2200 Г800 мм EKF AleSta</t>
  </si>
  <si>
    <t>AleSta-PCH44</t>
  </si>
  <si>
    <t>Панель горизонтальная для секционирования Ш400 Г400 мм EKF AleSta</t>
  </si>
  <si>
    <t>AleSta-PCH46</t>
  </si>
  <si>
    <t>Панель горизонтальная для секционирования Ш400 Г600 мм EKF AleSta</t>
  </si>
  <si>
    <t>AleSta-PCH48</t>
  </si>
  <si>
    <t>Панель горизонтальная для секционирования Ш400 Г800 мм EKF AleSta</t>
  </si>
  <si>
    <t>AleSta-PCH64</t>
  </si>
  <si>
    <t>Панель горизонтальная для секционирования Ш600 Г400 мм EKF AleSta</t>
  </si>
  <si>
    <t>AleSta-PCH66</t>
  </si>
  <si>
    <t>Панель горизонтальная для секционирования Ш600 Г600 мм EKF AleSta</t>
  </si>
  <si>
    <t>AleSta-PCH68</t>
  </si>
  <si>
    <t>Панель горизонтальная для секционирования Ш600 Г800 мм EKF AleSta</t>
  </si>
  <si>
    <t>AleSta-PCH84</t>
  </si>
  <si>
    <t>Панель горизонтальная для секционирования Ш800 Г400 мм EKF AleSta</t>
  </si>
  <si>
    <t>AleSta-PCH86</t>
  </si>
  <si>
    <t>Панель горизонтальная для секционирования Ш800 Г600 мм EKF AleSta</t>
  </si>
  <si>
    <t>AleSta-PCH88</t>
  </si>
  <si>
    <t>Панель горизонтальная для секционирования Ш800 Г800 мм EKF AleSta</t>
  </si>
  <si>
    <t>AleSta-PCHB34</t>
  </si>
  <si>
    <t>Перегородки для сборки горизонтальных шин Ш300 Г400 EKF AleSta</t>
  </si>
  <si>
    <t>AleSta-PCHB36</t>
  </si>
  <si>
    <t>Перегородки для сборки горизонтальных шин Ш300 Г600 EKF AleSta</t>
  </si>
  <si>
    <t>AleSta-PCHB38</t>
  </si>
  <si>
    <t>Перегородки для сборки горизонтальных шин Ш300 Г800 EKF AleSta</t>
  </si>
  <si>
    <t>AleSta-PCHB44</t>
  </si>
  <si>
    <t>Перегородки для сборки горизонтальных шин Ш400 Г400 EKF AleSta</t>
  </si>
  <si>
    <t>AleSta-PCHB46</t>
  </si>
  <si>
    <t>Перегородки для сборки горизонтальных шин Ш400 Г600 EKF AleSta</t>
  </si>
  <si>
    <t>AleSta-PCHB48</t>
  </si>
  <si>
    <t>Перегородки для сборки горизонтальных шин Ш400 Г800 EKF AleSta</t>
  </si>
  <si>
    <t>AleSta-PCHB64</t>
  </si>
  <si>
    <t>Перегородки для сборки горизонтальных шин Ш600 Г400 EKF AleSta</t>
  </si>
  <si>
    <t>AleSta-PCHB66</t>
  </si>
  <si>
    <t>Перегородки для сборки горизонтальных шин Ш600 Г600 EKF AleSta</t>
  </si>
  <si>
    <t>AleSta-PCHB68</t>
  </si>
  <si>
    <t>Перегородки для сборки горизонтальных шин Ш600 Г800 EKF AleSta</t>
  </si>
  <si>
    <t>AleSta-PCHB84</t>
  </si>
  <si>
    <t>Перегородки для сборки горизонтальных шин Ш800 Г400 EKF AleSta</t>
  </si>
  <si>
    <t>AleSta-PCHB86</t>
  </si>
  <si>
    <t>Перегородки для сборки горизонтальных шин Ш800 Г600 EKF AleSta</t>
  </si>
  <si>
    <t>AleSta-PCHB88</t>
  </si>
  <si>
    <t>Перегородки для сборки горизонтальных шин Ш800 Г800 EKF AleSta</t>
  </si>
  <si>
    <t>AleSta-BP1030</t>
  </si>
  <si>
    <t>Комплект панелей цоколя AleSta, Ш_Г=300 мм, В=100мм, 1 кмп = 2 шт.EKF AleSta</t>
  </si>
  <si>
    <t>14.09.09 Цоколя</t>
  </si>
  <si>
    <t>AleSta-BP1040</t>
  </si>
  <si>
    <t>Комплект панелей цоколя AleSta, Ш_Г=400 мм, В=100мм, 1 кмп = 2 шт.EKF AleSta</t>
  </si>
  <si>
    <t>AleSta-BP1060</t>
  </si>
  <si>
    <t>Комплект панелей цоколя AleSta, Ш_Г=600 мм, В=100мм, 1 кмп = 2 шт.EKF AleSta</t>
  </si>
  <si>
    <t>AleSta-BP1080</t>
  </si>
  <si>
    <t>Комплект панелей цоколя AleSta, Ш_Г=800 мм, В=100мм, 1 кмп = 2 шт.EKF AleSta</t>
  </si>
  <si>
    <t>AleSta-BS10</t>
  </si>
  <si>
    <t>Комплект угловых элементов цоколя В =100 мм, 1 кмп = 4 шт.EKF AleSta</t>
  </si>
  <si>
    <t>16 Элементы комплектации шкафов</t>
  </si>
  <si>
    <t>16.01 DIN-рейки, кронштейны и зажимы</t>
  </si>
  <si>
    <t>16.01.01 DIN-рейки перфорированные 0,8мм</t>
  </si>
  <si>
    <t>adr-2.0</t>
  </si>
  <si>
    <t>DIN-рейка перфорированная (2000мм.) EKF PROxima</t>
  </si>
  <si>
    <t>ahdw-211</t>
  </si>
  <si>
    <t>Зажим на DIN-рейку 1 винт HDW-211 EKF PROxima</t>
  </si>
  <si>
    <t>16.01.04 Кронштейны и зажимы для DIN-реек</t>
  </si>
  <si>
    <t>16.01.04.01 Зажимы на DIN-рейку</t>
  </si>
  <si>
    <t>ahdw-201</t>
  </si>
  <si>
    <t>Зажим на DIN-рейку 2 винта HDW-201 EKF PROxima</t>
  </si>
  <si>
    <t>ahdw-ew</t>
  </si>
  <si>
    <t>Зажим на DIN-рейку пластиковый 1 винт EW EKF PROxima</t>
  </si>
  <si>
    <t>din-k-20</t>
  </si>
  <si>
    <t>Кронштейн для установки DIN-рейки (H=20мм) EKF PROxima</t>
  </si>
  <si>
    <t>16.01.04.02 Кронштейны для DIN-рейки</t>
  </si>
  <si>
    <t>din-k-30</t>
  </si>
  <si>
    <t>Кронштейн для установки DIN-рейки (H=30мм) EKF PROxima</t>
  </si>
  <si>
    <t>din-k-50</t>
  </si>
  <si>
    <t>Кронштейн для установки DIN-рейки (H=50мм) EKF PROxima</t>
  </si>
  <si>
    <t>din-k-1</t>
  </si>
  <si>
    <t>Кронштейн для установки DIN-рейки под углом EKF PROxima</t>
  </si>
  <si>
    <t>16.01.05 DIN-рейки перфорированные 35х15х1,5 мм.</t>
  </si>
  <si>
    <t>tdr-2.0</t>
  </si>
  <si>
    <t>DIN-рейка усиленная 1,5 мм. перфорированная 35х15х2000 мм. EKF PROxima</t>
  </si>
  <si>
    <t>16.01.06 DIN-рейки перфорированные 1 мм.</t>
  </si>
  <si>
    <t>adr1-20</t>
  </si>
  <si>
    <t>DIN-рейка 1мм. перфорир. (2000мм.) EKF PROxima</t>
  </si>
  <si>
    <t>16.03 Знаки безопасности и Ленты предупредительные</t>
  </si>
  <si>
    <t>16.03.01 Знаки безопасности</t>
  </si>
  <si>
    <t>16.03.01.04 Предупреждающие (W)</t>
  </si>
  <si>
    <t>16.03.01.11 Вспомогательные</t>
  </si>
  <si>
    <t>an-w-08</t>
  </si>
  <si>
    <t>Знак наклейка W08 "Опасность поражения электрическим током" (200x200x200) ГОСТ 12.4.026-2015 EKF PROxima</t>
  </si>
  <si>
    <t>16.03.01.02 Плакаты электробезопасности</t>
  </si>
  <si>
    <t>pn-2-04</t>
  </si>
  <si>
    <t>Знак пластик "Не включать! Работа на линии" (100х200) EKF PROxima</t>
  </si>
  <si>
    <t>pn-2-05</t>
  </si>
  <si>
    <t>Знак пластик "Не включать! Работают люди" (100х200) EKF PROxima</t>
  </si>
  <si>
    <t>pn-2-07</t>
  </si>
  <si>
    <t>Знак пластик "Не влезай убьет" (150х300) EKF PROxima</t>
  </si>
  <si>
    <t>pn-3-02</t>
  </si>
  <si>
    <t>Знак пластик "Опасная зона" (250x500) EKF PROxima</t>
  </si>
  <si>
    <t>pn-1-01</t>
  </si>
  <si>
    <t>Знак пластик "Опасность поражения электрическим током" (Молния) (100х100) EKF PROxima</t>
  </si>
  <si>
    <t>pn-1-02</t>
  </si>
  <si>
    <t>Знак пластик "Опасность поражения электрическим током" (Молния) (150х150) EKF PROxima</t>
  </si>
  <si>
    <t>pn-2-06</t>
  </si>
  <si>
    <t>Знак пластик "Стой! напряжение" (150х300) EKF PROxima</t>
  </si>
  <si>
    <t>an-2-01</t>
  </si>
  <si>
    <t>Наклейка "12В" (10х15) EKF PROxima</t>
  </si>
  <si>
    <t>16.03.01.01 Знаки электробезопасности</t>
  </si>
  <si>
    <t>an-2-13</t>
  </si>
  <si>
    <t>Наклейка "12 модулей" EKF PROxima</t>
  </si>
  <si>
    <t>an-2-02</t>
  </si>
  <si>
    <t>Наклейка "220В" (10х15) EKF PROxima</t>
  </si>
  <si>
    <t>an-2-18</t>
  </si>
  <si>
    <t>Наклейка "220В" (20х40) EKF PROxima</t>
  </si>
  <si>
    <t>an-2-03</t>
  </si>
  <si>
    <t>Наклейка "24В" (10х15) EKF PROxima</t>
  </si>
  <si>
    <t>an-2-04</t>
  </si>
  <si>
    <t>Наклейка "36В" (10х15) EKF PROxima</t>
  </si>
  <si>
    <t>an-2-05</t>
  </si>
  <si>
    <t>Наклейка "380В" (10х15) EKF PROxima</t>
  </si>
  <si>
    <t>an-2-16</t>
  </si>
  <si>
    <t>Наклейка "380В" (20х40) EKF PROxima</t>
  </si>
  <si>
    <t>an-2-06</t>
  </si>
  <si>
    <t>Наклейка "42В" (10х15) EKF PROxima</t>
  </si>
  <si>
    <t>an-2-9</t>
  </si>
  <si>
    <t>Наклейка "A" d=20 EKF PROxima</t>
  </si>
  <si>
    <t>an-2-9-1</t>
  </si>
  <si>
    <t>Наклейка "B" d=20 EKF PROxima</t>
  </si>
  <si>
    <t>an-2-9-2</t>
  </si>
  <si>
    <t>Наклейка "C" d=20 EKF PROxima</t>
  </si>
  <si>
    <t>an-2-15</t>
  </si>
  <si>
    <t>Наклейка "L1" d=20 EKF PROxima</t>
  </si>
  <si>
    <t>an-2-15-1</t>
  </si>
  <si>
    <t>Наклейка "L2" d=20 EKF PROxima</t>
  </si>
  <si>
    <t>an-2-15-2</t>
  </si>
  <si>
    <t>Наклейка "L3" d=20 EKF PROxima</t>
  </si>
  <si>
    <t>an-2-07</t>
  </si>
  <si>
    <t>Наклейка "N" (d20) EKF PROxima</t>
  </si>
  <si>
    <t>an-2-08-1</t>
  </si>
  <si>
    <t>Наклейка "N" d=20 EKF PROxima</t>
  </si>
  <si>
    <t>an-2-08</t>
  </si>
  <si>
    <t>Наклейка "PE" (d20) EKF PROxima</t>
  </si>
  <si>
    <t>an-2-07-1</t>
  </si>
  <si>
    <t>Наклейка "PE" d=20 EKF PROxima</t>
  </si>
  <si>
    <t>an-1-04</t>
  </si>
  <si>
    <t>Наклейка "Земля" (d20) EKF PROxima</t>
  </si>
  <si>
    <t>an-1-06</t>
  </si>
  <si>
    <t>Наклейка "Земля" (d30) EKF PROxima</t>
  </si>
  <si>
    <t>an-1-01</t>
  </si>
  <si>
    <t>Наклейка "Молния" (100х100х100) EKF PROxima</t>
  </si>
  <si>
    <t>an-1-05</t>
  </si>
  <si>
    <t>Наклейка "Молния" (130х130х130) EKF PROxima</t>
  </si>
  <si>
    <t>an-1-00</t>
  </si>
  <si>
    <t>Наклейка "Молния" (150х150х150) EKF PROxima</t>
  </si>
  <si>
    <t>an-1-02</t>
  </si>
  <si>
    <t>Наклейка "Молния" (25х25х25) EKF PROxima</t>
  </si>
  <si>
    <t>an-1-03</t>
  </si>
  <si>
    <t>Наклейка "Молния" (50х50х50) EKF PROxima</t>
  </si>
  <si>
    <t>an-1-03-2</t>
  </si>
  <si>
    <t>Наклейка "Молния" (85х85х85) EKF PROxima</t>
  </si>
  <si>
    <t>mn-1-3</t>
  </si>
  <si>
    <t>Комплект модульных наклеек большой (164х299) EKF PROxima</t>
  </si>
  <si>
    <t>16.03.04 Наклейки модульные</t>
  </si>
  <si>
    <t>mn-1-3-x</t>
  </si>
  <si>
    <t>Комплект модульных наклеек большой с инд. ШК (164х299) EKF PROxima</t>
  </si>
  <si>
    <t>mn-1-1</t>
  </si>
  <si>
    <t>Комплект модульных наклеек малый (110х200) EKF PROxima</t>
  </si>
  <si>
    <t>mn-1-1-x</t>
  </si>
  <si>
    <t>Комплект модульных наклеек малый с инд. ШК (110х200) EKF PROxima</t>
  </si>
  <si>
    <t>mn-1-2</t>
  </si>
  <si>
    <t>Комплект модульных наклеек средний (137х240) EKF PROxima</t>
  </si>
  <si>
    <t>mn-1-2-x</t>
  </si>
  <si>
    <t>Комплект модульных наклеек средний с инд. ШК (137х240) EKF PROxima</t>
  </si>
  <si>
    <t>ak-0-2</t>
  </si>
  <si>
    <t>Заглушка 12 модулей белая EKF PROxima</t>
  </si>
  <si>
    <t>16.04 Заглушки, карман для документации, поводки заземления, комплект монтажа, окна учета</t>
  </si>
  <si>
    <t>ak-0-1</t>
  </si>
  <si>
    <t>Заглушка 12 модулей серая EKF PROxima</t>
  </si>
  <si>
    <t>mb-kar-a4</t>
  </si>
  <si>
    <t>Карман для документации пластиковый А4 EKF</t>
  </si>
  <si>
    <t>ak-g-10</t>
  </si>
  <si>
    <t>Окно герметичное 10 модулей IP67 PROxima</t>
  </si>
  <si>
    <t>ak-g-12</t>
  </si>
  <si>
    <t>Окно герметичное 12 модулей IP67 PROxima</t>
  </si>
  <si>
    <t>ak-g-13</t>
  </si>
  <si>
    <t>Окно герметичное 13 модулей IP67 PROxima</t>
  </si>
  <si>
    <t>ak-g-16</t>
  </si>
  <si>
    <t>Окно герметичное 16 модулей IP67 PROxima</t>
  </si>
  <si>
    <t>ak-g-18</t>
  </si>
  <si>
    <t>Окно герметичное 18 модулей IP67 PROxima</t>
  </si>
  <si>
    <t>ak-g-2</t>
  </si>
  <si>
    <t>Окно герметичное 2 модуля IP67 PROxima</t>
  </si>
  <si>
    <t>ak-g-3</t>
  </si>
  <si>
    <t>Окно герметичное 3 модуля IP67 PROxima</t>
  </si>
  <si>
    <t>ak-g-4</t>
  </si>
  <si>
    <t>Окно герметичное 4 модуля IP67 PROxima</t>
  </si>
  <si>
    <t>ak-g-6</t>
  </si>
  <si>
    <t>Окно герметичное 6 модулей IP67 PROxima</t>
  </si>
  <si>
    <t>ak-g-8</t>
  </si>
  <si>
    <t>Окно герметичное 8 модулей IP67 PROxima</t>
  </si>
  <si>
    <t>ak-i-1</t>
  </si>
  <si>
    <t>Окно герметичное для приборов IP67 PROxima</t>
  </si>
  <si>
    <t>ak-3-5</t>
  </si>
  <si>
    <t>Поводок 1 наконечник (200мм.) EKF PROxima</t>
  </si>
  <si>
    <t>ak-3-6</t>
  </si>
  <si>
    <t>Поводок 2 наконечника (200мм) EKF PROxima</t>
  </si>
  <si>
    <t>ak-4-1</t>
  </si>
  <si>
    <t>Стекло для электрощитов EKF PROxima</t>
  </si>
  <si>
    <t>ak-4-3</t>
  </si>
  <si>
    <t>Стекло для электрощитов IP54 (80х118) EKF PROxima</t>
  </si>
  <si>
    <t>mt-134-bs</t>
  </si>
  <si>
    <t>Бирка кабельная маркировочная У-134 (100шт.) большой квадрат EKF PROxima</t>
  </si>
  <si>
    <t>16.12 Бирка кабельная маркировочная</t>
  </si>
  <si>
    <t>mt-135-r</t>
  </si>
  <si>
    <t>Бирка кабельная маркировочная У-135 (100шт.) круг EKF PROxima</t>
  </si>
  <si>
    <t>mt-136-t</t>
  </si>
  <si>
    <t>Бирка кабельная маркировочная У-136 (100шт.) треугольник EKF PROxima</t>
  </si>
  <si>
    <t>mt-153-ss</t>
  </si>
  <si>
    <t>Бирка кабельная маркировочная У-153 (250шт.) малый квадрат EKF PROxima</t>
  </si>
  <si>
    <t>mm-134-bs</t>
  </si>
  <si>
    <t>Бирка маркировочная мягкая У-134М (100 шт.) большой квадрат EKF PROxima</t>
  </si>
  <si>
    <t>mm-135-r</t>
  </si>
  <si>
    <t>Бирка маркировочная мягкая У-135М (100 шт.) круг EKF PROxima</t>
  </si>
  <si>
    <t>mm-136-t</t>
  </si>
  <si>
    <t>Бирка маркировочная мягкая У-136М (100 шт.) треугольник EKF PROxima</t>
  </si>
  <si>
    <t>SM-10x100</t>
  </si>
  <si>
    <t>Шина М1T 10х100х4000 мм EKF PROxima</t>
  </si>
  <si>
    <t>16.14 Электротехнические шины</t>
  </si>
  <si>
    <t>16.14.01 Медные шины</t>
  </si>
  <si>
    <t>SM-10x120</t>
  </si>
  <si>
    <t>Шина М1T 10х120х4000 мм EKF PROxima</t>
  </si>
  <si>
    <t>SM-10x60</t>
  </si>
  <si>
    <t>Шина М1T 10х60х4000 мм EKF PROxima</t>
  </si>
  <si>
    <t>SM-10x80</t>
  </si>
  <si>
    <t>Шина М1T 10х80х4000 мм EKF PROxima</t>
  </si>
  <si>
    <t>SM-4x30</t>
  </si>
  <si>
    <t>Шина М1T 4х30х4000 мм EKF PROxima</t>
  </si>
  <si>
    <t>SM-5x50</t>
  </si>
  <si>
    <t>Шина М1T 5х50х4000 мм EKF PROxima</t>
  </si>
  <si>
    <t>SA-10x100</t>
  </si>
  <si>
    <t>Шина АД 31Т 10х100х4000 мм EKF PROxima</t>
  </si>
  <si>
    <t>16.14.02 Алюминиевые шины</t>
  </si>
  <si>
    <t>SA-10x120</t>
  </si>
  <si>
    <t>Шина АД 31Т 10х120х4000 мм EKF PROxima</t>
  </si>
  <si>
    <t>SA-10x60</t>
  </si>
  <si>
    <t>Шина АД 31Т 10х60х4000 мм EKF PROxima</t>
  </si>
  <si>
    <t>SA-4x30</t>
  </si>
  <si>
    <t>Шина АД 31Т 4х30х4000 мм EKF PROxima</t>
  </si>
  <si>
    <t>SA-5x50</t>
  </si>
  <si>
    <t>Шина АД 31Т 5х50х4000 мм EKF PROxima</t>
  </si>
  <si>
    <t>SA-8x100</t>
  </si>
  <si>
    <t>Шина АД 31Т 8х100х4000 мм EKF PROxima</t>
  </si>
  <si>
    <t>SA-8x60</t>
  </si>
  <si>
    <t>Шина АД 31Т 8х60х4000 мм EKF PROxima</t>
  </si>
  <si>
    <t>SA-8x80</t>
  </si>
  <si>
    <t>Шина АД 31Т 8х80х4000 мм EKF PROxima</t>
  </si>
  <si>
    <t>м</t>
  </si>
  <si>
    <t>16.20 Кабельные вводы (сальники) и аксессуары к ним</t>
  </si>
  <si>
    <t>16.20.01 Сальники герметичные PG (IP54) серые</t>
  </si>
  <si>
    <t>plc-pg-11-r</t>
  </si>
  <si>
    <t>Сальник PG11 IP54 (20 шт) d отв. 19 мм / d провод. 5-10 мм EKF PROxima</t>
  </si>
  <si>
    <t>16.20.01.01 Сальники герметичные PG (IP54) серые (20 шт)</t>
  </si>
  <si>
    <t>plc-pg-13.5-r</t>
  </si>
  <si>
    <t>Сальник PG13,5 IP54 (20 шт) d отв. 21 мм / d провод. 6-12 мм EKF PROxima</t>
  </si>
  <si>
    <t>plc-pg-16-r</t>
  </si>
  <si>
    <t>Сальник PG16 IP54 (20 шт) d отв. 21 мм / d провод. 10-14 мм EKF PROxima</t>
  </si>
  <si>
    <t>plc-pg-19-r</t>
  </si>
  <si>
    <t>Сальник PG19 IP54 (20 шт) d отв. 23 мм / d провод. 12-15 мм EKF PROxima</t>
  </si>
  <si>
    <t>plc-pg-21-r</t>
  </si>
  <si>
    <t>Сальник PG21 IP54 (20 шт) d отв. 28 мм / d провод. 13-18 мм EKF PROxima</t>
  </si>
  <si>
    <t>plc-pg-25-r</t>
  </si>
  <si>
    <t>Сальник PG25 IP54 (20 шт) d отв. 31 мм / d провод. 16-21 мм EKF PROxima</t>
  </si>
  <si>
    <t>plc-pg-29-r</t>
  </si>
  <si>
    <t>Сальник PG29 IP54 (20 шт) d отв. 37 мм / d провод. 18-25 мм EKF PROxima</t>
  </si>
  <si>
    <t>plc-pg-36</t>
  </si>
  <si>
    <t>Сальник PG36 IP54 (20 шт) d отв. 46 мм / d провод. 22-32 мм EKF PROxima</t>
  </si>
  <si>
    <t>plc-pg-42</t>
  </si>
  <si>
    <t>Сальник PG42 IP54 (20 шт) d отв. 53 мм / d провод. 32-38 мм EKF PROxima</t>
  </si>
  <si>
    <t>plc-pg-48</t>
  </si>
  <si>
    <t>Сальник PG48 IP54 (20 шт) d отв. 59 мм / d провод. 37-44 мм EKF PROxima</t>
  </si>
  <si>
    <t>plc-pg-7-r</t>
  </si>
  <si>
    <t>Сальник PG7 IP54 (20 шт) d отв. 13 мм / d провод. 3-6,5 мм EKF PROxima</t>
  </si>
  <si>
    <t>plc-pg-9-r</t>
  </si>
  <si>
    <t>Сальник PG9 IP54 (20 шт) d отв. 16 мм / d провод. 4-8 мм EKF PROxima</t>
  </si>
  <si>
    <t>as-20</t>
  </si>
  <si>
    <t>Сальник d=20мм (Dотв.бокса 23мм) EKF Proxima</t>
  </si>
  <si>
    <t>16.20.03 Сальники ввода-вывода эластичные (IP54) серые</t>
  </si>
  <si>
    <t>as-25</t>
  </si>
  <si>
    <t>Сальник d=25мм (Dотв.бокса 28мм) EKF Proxima</t>
  </si>
  <si>
    <t>as-32</t>
  </si>
  <si>
    <t>Сальник d=28мм (Dотв.бокса 32мм) EKF Proxima</t>
  </si>
  <si>
    <t>as-38</t>
  </si>
  <si>
    <t>Сальник d=33мм (Dотв.бокса 37мм) EKF Proxima</t>
  </si>
  <si>
    <t>as-40</t>
  </si>
  <si>
    <t>Сальник d=44мм (Dотв.бокса 49мм) EKF Proxima</t>
  </si>
  <si>
    <t>plc-mgm-12</t>
  </si>
  <si>
    <t>Сальник металлический MGM12 IP68 d проводника 3-7 мм. PROxima</t>
  </si>
  <si>
    <t>16.20.04 Сальники герметичные металлические MGM (IP68)</t>
  </si>
  <si>
    <t>plc-mgm-16</t>
  </si>
  <si>
    <t>Сальник металлический MGM16 IP68 d проводника 4-8 мм. PROxima</t>
  </si>
  <si>
    <t>plc-mgm-19</t>
  </si>
  <si>
    <t>Сальник металлический MGM19 IP68 d проводника 6-10 мм. PROxima</t>
  </si>
  <si>
    <t>plc-mgm-20</t>
  </si>
  <si>
    <t>Сальник металлический MGM20 IP68 d проводника 8-12 мм. PROxima</t>
  </si>
  <si>
    <t>plc-mgm-22</t>
  </si>
  <si>
    <t>Сальник металлический MGM22 IP68 d проводника 10-14 мм. PROxima</t>
  </si>
  <si>
    <t>plc-mgm-25</t>
  </si>
  <si>
    <t>Сальник металлический MGM25 IP68 d проводника 10-14 мм. PROxima</t>
  </si>
  <si>
    <t>plc-mgm-25-18</t>
  </si>
  <si>
    <t>Сальник металлический MGM25 IP68 d проводника 13-18 мм. PROxima</t>
  </si>
  <si>
    <t>plc-mgm-30</t>
  </si>
  <si>
    <t>Сальник металлический MGM30 IP68 d проводника 13-18 мм. PROxima</t>
  </si>
  <si>
    <t>plc-mgm-32</t>
  </si>
  <si>
    <t>Сальник металлический MGM32 IP68 d проводника 15-22 мм. PROxima</t>
  </si>
  <si>
    <t>plc-mgm-40</t>
  </si>
  <si>
    <t>Сальник металлический MGM40 IP68 d проводника 22-28 мм. PROxima</t>
  </si>
  <si>
    <t>plc-mgm-48</t>
  </si>
  <si>
    <t>Сальник металлический MGM48 IP68 d проводника 28-32 мм. PROxima</t>
  </si>
  <si>
    <t>plc-mgm-54</t>
  </si>
  <si>
    <t>Сальник металлический MGM54 IP68 d проводника 32-38 мм. PROxima</t>
  </si>
  <si>
    <t>plc-mgm-63</t>
  </si>
  <si>
    <t>Сальник металлический MGM63 IP68 d проводника 38-44 мм. PROxima</t>
  </si>
  <si>
    <t>plc-mgm-75</t>
  </si>
  <si>
    <t>Сальник металлический MGM75 IP68 d проводника 46-54 мм. PROxima</t>
  </si>
  <si>
    <t>plc-df-w</t>
  </si>
  <si>
    <t>Фланец мембранный 220х79 мм для шкафа IP54 EKF PROxima</t>
  </si>
  <si>
    <t>16.20.05 Мембранные фланцы</t>
  </si>
  <si>
    <t>plc-swb-06</t>
  </si>
  <si>
    <t>Лента спиральная монтажная SWB-06 D6мм d4мм (10м.) EKF PROxima</t>
  </si>
  <si>
    <t>16.21 Лента спиральная монтажная SWB</t>
  </si>
  <si>
    <t>Лента SWB</t>
  </si>
  <si>
    <t>plc-swb-08</t>
  </si>
  <si>
    <t>Лента спиральная монтажная SWB-08 D8мм d6мм (10м.) EKF PROxima</t>
  </si>
  <si>
    <t>plc-swb-10</t>
  </si>
  <si>
    <t>Лента спиральная монтажная SWB-10 D10мм d7,5мм (10м.) EKF PROxima</t>
  </si>
  <si>
    <t>plc-swb-12</t>
  </si>
  <si>
    <t>Лента спиральная монтажная SWB-12 D12мм d9мм (10м.) EKF PROxima</t>
  </si>
  <si>
    <t>plc-swb-15</t>
  </si>
  <si>
    <t>Лента спиральная монтажная SWB-15 D15мм d12мм (10м.) EKF PROxima</t>
  </si>
  <si>
    <t>plc-swb-19</t>
  </si>
  <si>
    <t>Лента спиральная монтажная SWB-19 D19мм d15мм (10м.) EKF PROxima</t>
  </si>
  <si>
    <t>plc-swb-24</t>
  </si>
  <si>
    <t>Лента спиральная монтажная SWB-24 D24мм d21мм (10м.) EKF PROxima</t>
  </si>
  <si>
    <t>plc-20x20</t>
  </si>
  <si>
    <t>Площадка самоклеящаяся (20х20мм.) белая (100шт.) EKF PROxima</t>
  </si>
  <si>
    <t>16.22 Площадка самоклеящаяся</t>
  </si>
  <si>
    <t>16.22.01 Площадка самоклеящаяся (100 шт)</t>
  </si>
  <si>
    <t>plc-20x20-b</t>
  </si>
  <si>
    <t>Площадка самоклеящаяся (20х20мм.) черная (100шт.) EKF</t>
  </si>
  <si>
    <t>plc-25x25</t>
  </si>
  <si>
    <t>Площадка самоклеящаяся (25х25мм.) белая (100шт.) EKF PROxima</t>
  </si>
  <si>
    <t>plc-25x25-b</t>
  </si>
  <si>
    <t>Площадка самоклеящаяся (25х25мм.) черная (100шт.) EKF</t>
  </si>
  <si>
    <t>plc-30x30</t>
  </si>
  <si>
    <t>Площадка самоклеящаяся (30х30мм.) белая (100шт.) EKF PROxima</t>
  </si>
  <si>
    <t>plc-30x30-b</t>
  </si>
  <si>
    <t>Площадка самоклеящаяся (30х30мм.) черная (100шт.) EKF</t>
  </si>
  <si>
    <t>plc-40x40</t>
  </si>
  <si>
    <t>Площадка самоклеящаяся (40х40мм.) белая (100шт.) EKF PROxima</t>
  </si>
  <si>
    <t>plc-40x40-b</t>
  </si>
  <si>
    <t>Площадка самоклеящаяся (40х40мм.) черная (100шт.) EKF</t>
  </si>
  <si>
    <t>FAN102F</t>
  </si>
  <si>
    <t>Вентилятор с фильтром 102 м³/ч 176x176 мм 220В IP54 EKF PROxima</t>
  </si>
  <si>
    <t>16.24 Системы поддержания микроклимата</t>
  </si>
  <si>
    <t>16.24.01 Вентиляторы щитовые</t>
  </si>
  <si>
    <t>FAN170F</t>
  </si>
  <si>
    <t>Вентилятор с фильтром 170 м³/ч 176x176 мм 220В IP54 EKF PROxima</t>
  </si>
  <si>
    <t>FAN19F</t>
  </si>
  <si>
    <t>Вентилятор с фильтром 19 м³/ч 92x92 мм IP54 EKF PROxima</t>
  </si>
  <si>
    <t>FAN305F</t>
  </si>
  <si>
    <t>Вентилятор с фильтром 305 м³/ч 223x223 мм 220В IP54 EKF PROxima</t>
  </si>
  <si>
    <t>FAN433F</t>
  </si>
  <si>
    <t>Вентилятор с фильтром 433 м³/ч 291x291 мм IP54 EKF PROxima</t>
  </si>
  <si>
    <t>FAN52F</t>
  </si>
  <si>
    <t>Вентилятор с фильтром 52 м³/ч 124x124 мм IP54 EKF PROxima</t>
  </si>
  <si>
    <t>FAN850F</t>
  </si>
  <si>
    <t>Вентилятор с фильтром 850 м³/ч 291x291 мм IP54 EKF PROxima</t>
  </si>
  <si>
    <t>EXF52</t>
  </si>
  <si>
    <t>Вентиляционная решётка с фильтром 124x124 мм IP54 EKF PROxima</t>
  </si>
  <si>
    <t>EXF170</t>
  </si>
  <si>
    <t>Вентиляционная решётка с фильтром 176x176 мм IP54 EKF PROxima</t>
  </si>
  <si>
    <t>EXF305</t>
  </si>
  <si>
    <t>Вентиляционная решётка с фильтром 223x223 мм IP54 EKF PROxima</t>
  </si>
  <si>
    <t>EXF433</t>
  </si>
  <si>
    <t>Вентиляционная решётка с фильтром 291x291 мм IP54 EKF PROxima</t>
  </si>
  <si>
    <t>EXF19</t>
  </si>
  <si>
    <t>Вентиляционная решётка с фильтром 92x92 мм IP54 EKF PROxima</t>
  </si>
  <si>
    <t>HFT1000C</t>
  </si>
  <si>
    <t>Обогреватель в изолирующем корпусе с вентилятором и термостатом 1000Вт, 230В EKF PROxima</t>
  </si>
  <si>
    <t>16.24.02 Обогреватели</t>
  </si>
  <si>
    <t>HFT1200C</t>
  </si>
  <si>
    <t>Обогреватель в изолирующем корпусе с вентилятором и термостатом 1200Вт, 230В EKF PROxima</t>
  </si>
  <si>
    <t>HFT800C</t>
  </si>
  <si>
    <t>Обогреватель в изолирующем корпусе с вентилятором и термостатом 800Вт, 230В EKF PROxima</t>
  </si>
  <si>
    <t>HFT900C</t>
  </si>
  <si>
    <t>Обогреватель в изолирующем корпусе с вентилятором и термостатом 900Вт, 230В EKF PROxima</t>
  </si>
  <si>
    <t>heater-100-20</t>
  </si>
  <si>
    <t>Обогреватель на DIN-рейку 100Вт 230В IP20 EKF PROxima</t>
  </si>
  <si>
    <t>heater-150-20</t>
  </si>
  <si>
    <t>Обогреватель на DIN-рейку 150Вт 230В IP20 EKF PROxima</t>
  </si>
  <si>
    <t>heater-15-20</t>
  </si>
  <si>
    <t>Обогреватель на DIN-рейку 15Вт 230В IP20 EKF PROxima</t>
  </si>
  <si>
    <t>heater-30-20</t>
  </si>
  <si>
    <t>Обогреватель на DIN-рейку 30Вт 230В IP20 EKF PROxima</t>
  </si>
  <si>
    <t>heater-60-20</t>
  </si>
  <si>
    <t>Обогреватель на DIN-рейку 60Вт 230В IP20 EKF PROxima</t>
  </si>
  <si>
    <t>heater-click-100-20</t>
  </si>
  <si>
    <t>Обогреватель на DIN-рейку клеммный 100Вт 230В IP20 EKF PROxima</t>
  </si>
  <si>
    <t>heater-click-150-20</t>
  </si>
  <si>
    <t>Обогреватель на DIN-рейку клеммный 150Вт 230В IP20 EKF PROxima</t>
  </si>
  <si>
    <t>heater-click-15-20</t>
  </si>
  <si>
    <t>Обогреватель на DIN-рейку клеммный 15Вт 230В IP20 EKF PROxima</t>
  </si>
  <si>
    <t>heater-click-30-20</t>
  </si>
  <si>
    <t>Обогреватель на DIN-рейку клеммный 30Вт 230В IP20 EKF PROxima</t>
  </si>
  <si>
    <t>heater-click-45-20</t>
  </si>
  <si>
    <t>Обогреватель на DIN-рейку клеммный 45Вт 230В IP20 EKF PROxima</t>
  </si>
  <si>
    <t>heater-click-60-20</t>
  </si>
  <si>
    <t>Обогреватель на DIN-рейку клеммный 60Вт 230В IP20 EKF PROxima</t>
  </si>
  <si>
    <t>heater-click-75-20</t>
  </si>
  <si>
    <t>Обогреватель на DIN-рейку клеммный 75Вт 230В IP20 EKF PROxima</t>
  </si>
  <si>
    <t>heater-vent-q-100-20</t>
  </si>
  <si>
    <t>Обогреватель на DIN-рейку с вентилятором 100Вт 230В IP20 Quadro EKF PROxima</t>
  </si>
  <si>
    <t>HCO5EM</t>
  </si>
  <si>
    <t>Гигростат на DIN-рейку 5А 230В IP20 EKF PROxima</t>
  </si>
  <si>
    <t>16.24.03 Термостаты и гигростаты</t>
  </si>
  <si>
    <t>TNC10M</t>
  </si>
  <si>
    <t>Термостат NC (обогрев) на DIN-рейку 10А 230В IP20 EKF PROxima</t>
  </si>
  <si>
    <t>T2C10M</t>
  </si>
  <si>
    <t>Термостат NO+NC (охлаждение и обогрев) на DIN-рейку 10A 230В IP20 EKF PROxima</t>
  </si>
  <si>
    <t>thermo-no-nc-din</t>
  </si>
  <si>
    <t>Термостат NO/NC (охлаждение/обогрев) на DIN-рейку 5-10A 230В IP20 EKF PROxima</t>
  </si>
  <si>
    <t>thermo-no-nc-wall</t>
  </si>
  <si>
    <t>Термостат NO/NC (охлаждение/обогрев) накладной 16A 230В IP20 EKF PROxima</t>
  </si>
  <si>
    <t>TNO10M</t>
  </si>
  <si>
    <t>Термостат NO (охлаждение) на DIN-рейку 10А 230В IP20 EKF PROxima</t>
  </si>
  <si>
    <t>TCO10E</t>
  </si>
  <si>
    <t>Термостат электронный на DIN-рейку 10 А 230 В IP20 EKF PROxima</t>
  </si>
  <si>
    <t>ELS025</t>
  </si>
  <si>
    <t>Светильник светодиодный щитовой 220В, 5Вт винт EKF PROxima</t>
  </si>
  <si>
    <t>16.24.05 Светильник щитовой</t>
  </si>
  <si>
    <t>ELM025</t>
  </si>
  <si>
    <t>Светильник светодиодный щитовой 220В, 5Вт магнит EKF PROxima</t>
  </si>
  <si>
    <t>ut-1.4-10</t>
  </si>
  <si>
    <t>Терминал для проводников универсальный 1-4 мм2 на шину (10мм.) EKF PROxima</t>
  </si>
  <si>
    <t>16.25 Универсальные терминалы для проводников</t>
  </si>
  <si>
    <t>ut-1.4-5</t>
  </si>
  <si>
    <t>Терминал для проводников универсальный 1-4 мм2 на шину (5мм.) EKF PROxima</t>
  </si>
  <si>
    <t>ut-16.50-10</t>
  </si>
  <si>
    <t>Терминал для проводников универсальный 16-50 мм2 на шину (10мм.) EKF PROxima</t>
  </si>
  <si>
    <t>ut-16.50-5</t>
  </si>
  <si>
    <t>Терминал для проводников универсальный 16-50 мм2 на шину (5мм.) EKF PROxima</t>
  </si>
  <si>
    <t>ut-25.16-10</t>
  </si>
  <si>
    <t>Терминал для проводников универсальный 2.5-16 мм2 на шину (10мм.) EKF PROxima</t>
  </si>
  <si>
    <t>ut-25.16-5</t>
  </si>
  <si>
    <t>Терминал для проводников универсальный 2.5-16 мм2 на шину (5мм.) EKF PROxima</t>
  </si>
  <si>
    <t>ut-35.70-10</t>
  </si>
  <si>
    <t>Терминал для проводников универсальный 35-70 мм2 на шину (10мм.) EKF PROxima</t>
  </si>
  <si>
    <t>ut-35.70-5</t>
  </si>
  <si>
    <t>Терминал для проводников универсальный 35-70 мм2 на шину (5мм.) EKF PROxima</t>
  </si>
  <si>
    <t>ut-70.185-10</t>
  </si>
  <si>
    <t>Терминал для проводников универсальный 70-185 мм2 на шину (10мм.) EKF PROxima</t>
  </si>
  <si>
    <t>ut-70.185-5</t>
  </si>
  <si>
    <t>Терминал для проводников универсальный 70-185 мм2 на шину (5мм.) EKF PROxima</t>
  </si>
  <si>
    <t>16.27 Аксессуары и прочие комплектующие</t>
  </si>
  <si>
    <t>plc-ept-2-10</t>
  </si>
  <si>
    <t>Лента для защиты кромок с металлокордом 0,75-2 мм 10 м EKF PROxima</t>
  </si>
  <si>
    <t>eb-01</t>
  </si>
  <si>
    <t>Стопор на DIN-рейку винтовой EKF PROxima</t>
  </si>
  <si>
    <t>cb-pa-10-16</t>
  </si>
  <si>
    <t>Кабельная оплетка из полиамида 10-16 мм 100 м EKF PROxima</t>
  </si>
  <si>
    <t>16.30 Кабельная оплетка из полиамида</t>
  </si>
  <si>
    <t>cb-pa-12-20</t>
  </si>
  <si>
    <t>Кабельная оплетка из полиамида 12-20 мм 100 м EKF PROxima</t>
  </si>
  <si>
    <t>cb-pa-15-24</t>
  </si>
  <si>
    <t>Кабельная оплетка из полиамида 15-24 мм 100 м EKF PROxima</t>
  </si>
  <si>
    <t>cb-pa-20-32</t>
  </si>
  <si>
    <t>Кабельная оплетка из полиамида 20-32 мм 50 м EKF PROxima</t>
  </si>
  <si>
    <t>cb-pa-25-40</t>
  </si>
  <si>
    <t>Кабельная оплетка из полиамида 25-40 мм 50 м EKF PROxima</t>
  </si>
  <si>
    <t/>
  </si>
  <si>
    <t>Тип конструктива</t>
  </si>
  <si>
    <t>Материал шин</t>
  </si>
  <si>
    <t>Тип заземления</t>
  </si>
  <si>
    <t>Классы пылевлагозащиты IP</t>
  </si>
  <si>
    <t>Обслуживание</t>
  </si>
  <si>
    <t>расчет токов</t>
  </si>
  <si>
    <t>Шина медная</t>
  </si>
  <si>
    <t>Масса</t>
  </si>
  <si>
    <t>Шина алюминий</t>
  </si>
  <si>
    <t>4х30</t>
  </si>
  <si>
    <t>50х5</t>
  </si>
  <si>
    <t>60х10</t>
  </si>
  <si>
    <t>80х10</t>
  </si>
  <si>
    <t>10х100</t>
  </si>
  <si>
    <t>120х10</t>
  </si>
  <si>
    <t>2х80х10</t>
  </si>
  <si>
    <t>2х100х10</t>
  </si>
  <si>
    <t>2х120х10</t>
  </si>
  <si>
    <t>3х120х10</t>
  </si>
  <si>
    <t>выбор корпусов</t>
  </si>
  <si>
    <t>Секционирование</t>
  </si>
  <si>
    <t>выбор материала</t>
  </si>
  <si>
    <t xml:space="preserve">масса на 1 фазу </t>
  </si>
  <si>
    <t>Масса медь</t>
  </si>
  <si>
    <t>ширины</t>
  </si>
  <si>
    <t>Масса алюминий</t>
  </si>
  <si>
    <t>заземление</t>
  </si>
  <si>
    <t>TN-C</t>
  </si>
  <si>
    <t>TN-C-S</t>
  </si>
  <si>
    <t>TN-S</t>
  </si>
  <si>
    <t>Наполнение АВР</t>
  </si>
  <si>
    <t>Ничего</t>
  </si>
  <si>
    <t>IP</t>
  </si>
  <si>
    <t>Стоимость</t>
  </si>
  <si>
    <t>Медь стоимость 1кг</t>
  </si>
  <si>
    <t>Алюминий стоимость 1кг</t>
  </si>
  <si>
    <t>Одностороннее</t>
  </si>
  <si>
    <t>Друхстороннее</t>
  </si>
  <si>
    <t>РШНН (за ваши деньги все что угодно #Ойстачерзаплати)</t>
  </si>
  <si>
    <t>FORT (за ваши деньги все что угодно #Ойстачерзаплати)</t>
  </si>
  <si>
    <t>AleSta</t>
  </si>
  <si>
    <t>Не буду считать</t>
  </si>
  <si>
    <t>Шинный мост</t>
  </si>
  <si>
    <t>Кол-во</t>
  </si>
  <si>
    <t>Кол-во, шт</t>
  </si>
  <si>
    <t>Ввод 1</t>
  </si>
  <si>
    <t>Ток стойки</t>
  </si>
  <si>
    <t>Отношение токов</t>
  </si>
  <si>
    <t>высоты</t>
  </si>
  <si>
    <t>глубины</t>
  </si>
  <si>
    <t>Цоколь</t>
  </si>
  <si>
    <t>Монтажная панель во всю высоту</t>
  </si>
  <si>
    <t>Частичная монтажная панель</t>
  </si>
  <si>
    <t>Во всю высоту</t>
  </si>
  <si>
    <t>Панели боковые для секционирования</t>
  </si>
  <si>
    <t>Панель горизонтальная для секционирования</t>
  </si>
  <si>
    <t>DIN-рейка 2м, усиленная</t>
  </si>
  <si>
    <t>DIN-рейка 2м</t>
  </si>
  <si>
    <t>Шина магистраль</t>
  </si>
  <si>
    <t>С вырезом для модульного оборудования В=200</t>
  </si>
  <si>
    <t>Стопоры на DIN-рейку</t>
  </si>
  <si>
    <t>Тип</t>
  </si>
  <si>
    <t>Вентилятор в шкаф</t>
  </si>
  <si>
    <t>Вентиляционная решетка с фильтром</t>
  </si>
  <si>
    <t>Обогреватель</t>
  </si>
  <si>
    <t>Гигростат</t>
  </si>
  <si>
    <t>Термостат</t>
  </si>
  <si>
    <t>Светильник в шкаф</t>
  </si>
  <si>
    <t>Площадка самоклеящаяся</t>
  </si>
  <si>
    <t>Кабельная оплетка до 20мм включительно</t>
  </si>
  <si>
    <t>Кабельная оплетка более 20мм</t>
  </si>
  <si>
    <t>Концевой выключатель</t>
  </si>
  <si>
    <t>Фланец мембранный</t>
  </si>
  <si>
    <t>Щёточный буртик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</si>
  <si>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</si>
  <si>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</si>
  <si>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</si>
  <si>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</si>
  <si>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</si>
  <si>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</si>
  <si>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</si>
  <si>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</si>
  <si>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</si>
  <si>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</si>
  <si>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</si>
  <si>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2.1</t>
  </si>
  <si>
    <t>2.2</t>
  </si>
  <si>
    <t>2.3</t>
  </si>
  <si>
    <t>3.1</t>
  </si>
  <si>
    <t>3.2</t>
  </si>
  <si>
    <t>Зажимы для присоединения к шинам, первичные цепи</t>
  </si>
  <si>
    <t>Зажимы для присоединения к шинам, вторичные цепи</t>
  </si>
  <si>
    <t>3.3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</si>
  <si>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</si>
  <si>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</si>
  <si>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</si>
  <si>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</si>
  <si>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</si>
  <si>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</si>
  <si>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</si>
  <si>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</si>
  <si>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</si>
  <si>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</si>
  <si>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</si>
  <si>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</si>
  <si>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3.18</t>
  </si>
  <si>
    <t>3.19</t>
  </si>
  <si>
    <t>3.20</t>
  </si>
  <si>
    <t>3.21</t>
  </si>
  <si>
    <t>100мм</t>
  </si>
  <si>
    <t>Цоколя</t>
  </si>
  <si>
    <t>Отсутствует</t>
  </si>
  <si>
    <t>Перегородки для закрытия магистральных шин.</t>
  </si>
  <si>
    <t>Всего заполненных корпусов:</t>
  </si>
  <si>
    <t>Ввод 2</t>
  </si>
  <si>
    <t>Ввод 3</t>
  </si>
  <si>
    <t>Секционный</t>
  </si>
  <si>
    <t>Отходящие тип 1</t>
  </si>
  <si>
    <t>Отходящие тип 2</t>
  </si>
  <si>
    <t>Отходящие тип 3</t>
  </si>
  <si>
    <t>Отходящие тип 4</t>
  </si>
  <si>
    <t>Отходящие тип 5</t>
  </si>
  <si>
    <t>Кабельный</t>
  </si>
  <si>
    <t>Шинный</t>
  </si>
  <si>
    <t>Пустой</t>
  </si>
  <si>
    <t>УКРМ</t>
  </si>
  <si>
    <t>Частотный преобразователь</t>
  </si>
  <si>
    <t>АВР + Собственные нужды</t>
  </si>
  <si>
    <t>1 фаза магистрали</t>
  </si>
  <si>
    <t>Комплект угловых элементов цоколя В =200 мм, 1 кмп = 4 шт.EKF AleSta</t>
  </si>
  <si>
    <t>AleSta-BS20</t>
  </si>
  <si>
    <t>AleSta-AMPF400</t>
  </si>
  <si>
    <t>Комплект для установки монтажной платы в каркас глубиной 400 EKF AleSta</t>
  </si>
  <si>
    <t>Ссылка на сайт</t>
  </si>
  <si>
    <t>Сертификат</t>
  </si>
  <si>
    <t>Заказ</t>
  </si>
  <si>
    <t>Ед.</t>
  </si>
  <si>
    <t>Базовая цена,                   с НДС</t>
  </si>
  <si>
    <t>Базовая цена,             без НДС</t>
  </si>
  <si>
    <t>Цена РОЦ, с НДС</t>
  </si>
  <si>
    <t>Цена РРЦ, с НДС</t>
  </si>
  <si>
    <t>Цена                         с учетом скидок,                    с НДС</t>
  </si>
  <si>
    <t>Цена                       с учетом скидок,                без НДС</t>
  </si>
  <si>
    <t>Новинка</t>
  </si>
  <si>
    <t>Мин. норма отпуска</t>
  </si>
  <si>
    <t>Кол-во                в упаковке</t>
  </si>
  <si>
    <t>Кол-во     в трансп. коробке</t>
  </si>
  <si>
    <t>1 уровень иерархии</t>
  </si>
  <si>
    <t>2 уровень иерархии</t>
  </si>
  <si>
    <t>3 уровень иерархии</t>
  </si>
  <si>
    <t>4 уровень иерархии</t>
  </si>
  <si>
    <t>Статус товара</t>
  </si>
  <si>
    <t>Серия номенклатуры</t>
  </si>
  <si>
    <t>Ускоренная доставка</t>
  </si>
  <si>
    <t>Вес баз. ед.</t>
  </si>
  <si>
    <t>Объем баз. ед.</t>
  </si>
  <si>
    <t>Сумма</t>
  </si>
  <si>
    <t>Вес</t>
  </si>
  <si>
    <t>Объем</t>
  </si>
  <si>
    <t>Металл</t>
  </si>
  <si>
    <t>Шины</t>
  </si>
  <si>
    <t>Терминалы</t>
  </si>
  <si>
    <t>Дин-рейка</t>
  </si>
  <si>
    <t>Микроклимат</t>
  </si>
  <si>
    <t>Освещение</t>
  </si>
  <si>
    <t>tz8104</t>
  </si>
  <si>
    <t>Концевой выключатель TZ-8104 EKF PROxima</t>
  </si>
  <si>
    <t>09 Кнопки, кнопочные посты, переключатели, светосигнальная арматура</t>
  </si>
  <si>
    <t>09.11 Концевые и путевые выключатели</t>
  </si>
  <si>
    <t>09.11.01 Концевые выключатели TZ</t>
  </si>
  <si>
    <t>tz8108</t>
  </si>
  <si>
    <t>Концевой выключатель TZ-8108 EKF PROxima</t>
  </si>
  <si>
    <t>LSE-WLCA12-2-Q</t>
  </si>
  <si>
    <t>Концевой выключатель WLCA12-2-Q EKF PROxima</t>
  </si>
  <si>
    <t>09.11.07 Концевые выключатели WL</t>
  </si>
  <si>
    <t>LSE-WLCA2-2</t>
  </si>
  <si>
    <t>Концевой выключатель WLCA2-2 EKF PROxima</t>
  </si>
  <si>
    <t>Липуны</t>
  </si>
  <si>
    <t>Спиралайт</t>
  </si>
  <si>
    <t>Ввод в шкаф</t>
  </si>
  <si>
    <t>Наклейки и таблички</t>
  </si>
  <si>
    <t>Модулька + карман</t>
  </si>
  <si>
    <t>Окно и герметичные стекла</t>
  </si>
  <si>
    <t>Поводки</t>
  </si>
  <si>
    <t>Бирки кабельные</t>
  </si>
  <si>
    <t>Спецификация</t>
  </si>
  <si>
    <t>Наименование</t>
  </si>
  <si>
    <t>Спека тип 1</t>
  </si>
  <si>
    <t>Частичная монтажная панель на высоту:</t>
  </si>
  <si>
    <t>Пластроны на высоту:</t>
  </si>
  <si>
    <t>200мм</t>
  </si>
  <si>
    <t>AleSta-AMPF600</t>
  </si>
  <si>
    <t>AleSta-AMPF800</t>
  </si>
  <si>
    <t>Комплект для установки монтажной платы в каркас глубиной 600 EKF AleSta</t>
  </si>
  <si>
    <t>Комплект для установки монтажной платы в каркас глубиной 800 EKF AleSta</t>
  </si>
  <si>
    <t>Спека тип 2</t>
  </si>
  <si>
    <t>Спека тип 3</t>
  </si>
  <si>
    <t>Спека тип 4</t>
  </si>
  <si>
    <t>Спека тип 5</t>
  </si>
  <si>
    <t>Спека тип 6</t>
  </si>
  <si>
    <t>Эталонная масса выбирает медь или алюминий</t>
  </si>
  <si>
    <t>Элементы металлокаркаса</t>
  </si>
  <si>
    <t>Цена базовая с НДС</t>
  </si>
  <si>
    <t>Дополнительные аксессуары</t>
  </si>
  <si>
    <t>Типы шкафов</t>
  </si>
  <si>
    <t>1й тип шкафа</t>
  </si>
  <si>
    <t>2й тип шкафа</t>
  </si>
  <si>
    <t>3й тип шкафа</t>
  </si>
  <si>
    <t>4й тип шкафа</t>
  </si>
  <si>
    <t>5й тип шкафа</t>
  </si>
  <si>
    <t>6й тип шкафа</t>
  </si>
  <si>
    <t>Сальник металлический сечение до 14мм включительно</t>
  </si>
  <si>
    <t>Сальник металлический сечение более 14мм</t>
  </si>
  <si>
    <t>Шина магистраль, кг</t>
  </si>
  <si>
    <t>Ток стойки, А</t>
  </si>
  <si>
    <t>1 фаза магистрали,кг</t>
  </si>
  <si>
    <t>SA-10x80</t>
  </si>
  <si>
    <t>Шина АД 31Т 10х80х4000мм</t>
  </si>
  <si>
    <t>Ток опуска</t>
  </si>
  <si>
    <t>Сечение опуска</t>
  </si>
  <si>
    <t>Общее количество шины, кг</t>
  </si>
  <si>
    <t>Опуск тип 1</t>
  </si>
  <si>
    <t>Опуск тип 2</t>
  </si>
  <si>
    <t>Опуск тип 3</t>
  </si>
  <si>
    <t>Опуск тип 4</t>
  </si>
  <si>
    <t>Опуск тип 5</t>
  </si>
  <si>
    <t>Опуск тип 6</t>
  </si>
  <si>
    <t>Сечение шин</t>
  </si>
  <si>
    <t>кг</t>
  </si>
  <si>
    <t>Магистрали</t>
  </si>
  <si>
    <t>Материал шины</t>
  </si>
  <si>
    <t>Лента спиральная монтажная диаметром до 12мм включительно</t>
  </si>
  <si>
    <t xml:space="preserve">Лента спиральная монтажная диаметром более 12мм </t>
  </si>
  <si>
    <t>Сальник пластиковый сечение провода до 14мм включительно</t>
  </si>
  <si>
    <t>Сальник пластиковый сечение более 14мм</t>
  </si>
  <si>
    <t>3.4</t>
  </si>
  <si>
    <t>3.17</t>
  </si>
  <si>
    <t>Введите % вашей скидки</t>
  </si>
  <si>
    <t>Итого с учетом скидки с НДС</t>
  </si>
  <si>
    <t>Медь ШМТ</t>
  </si>
  <si>
    <t>Алюминий АД31Т</t>
  </si>
  <si>
    <t>Детализация</t>
  </si>
  <si>
    <t>https://ekfgroup.com/uploads/products/F5297CBB79DBE97D983733D7944DBD3A.pdf</t>
  </si>
  <si>
    <t>https://ekfgroup.com/uploads/products/E03431278B38B8762A8E16EBD2ADBD57.pdf</t>
  </si>
  <si>
    <t>https://ekfgroup.com/uploads/products/E32A76570050D1673D59ECC83E92A0E6.pdf</t>
  </si>
  <si>
    <t>https://ekfgroup.com/uploads/products/022C116FAFAB3B8FF28801792CA70B61.pdf</t>
  </si>
  <si>
    <t>https://ekfgroup.com/uploads/products/A4B776318F4385D5D212DF821579F9E4.pdf</t>
  </si>
  <si>
    <t>https://ekfgroup.com/uploads/products/A950CF50AFA158C8BB937B9C71B7F9B7.pdf</t>
  </si>
  <si>
    <t>https://ekfgroup.com/uploads/products/A07B8143B3B397F72FDEEB31E4B9568B.pdf</t>
  </si>
  <si>
    <t>https://ekfgroup.com/uploads/products/73E2239D520EF881F474747E7EE01508.pdf</t>
  </si>
  <si>
    <t>https://ekfgroup.com/uploads/products/7183C124707A27C911DC1C6E8EBC1B5B.pdf</t>
  </si>
  <si>
    <t>https://ekfgroup.com/uploads/products/FBB3B67B3CF18F02431C1C75F3ACC912.pdf</t>
  </si>
  <si>
    <t>https://ekfgroup.com/uploads/products/3FC37FD2726DBB20E99DA407CBB09BB1.pdf</t>
  </si>
  <si>
    <t>Ед.изм.</t>
  </si>
  <si>
    <t>Этап 1</t>
  </si>
  <si>
    <t>Этап 2</t>
  </si>
  <si>
    <t>2. Введите общие данные для шинной системы</t>
  </si>
  <si>
    <t>Шина опуск, кг</t>
  </si>
  <si>
    <t>Ток, А</t>
  </si>
  <si>
    <t>Сечение магистрали на фазу, мм</t>
  </si>
  <si>
    <t>Масса всего шинопровода, кг</t>
  </si>
  <si>
    <t>Этап 3</t>
  </si>
  <si>
    <t>Итого, руб</t>
  </si>
  <si>
    <t>Высота корпусов, мм</t>
  </si>
  <si>
    <t>Глубина корпусов, мм</t>
  </si>
  <si>
    <t>Боковые панели, кол-во комплектов</t>
  </si>
  <si>
    <t>Профиль для закрытия острых кромок, бухт</t>
  </si>
  <si>
    <t xml:space="preserve">Рым-болты, доп. комплектов                                             </t>
  </si>
  <si>
    <t>Карман для документации, шт</t>
  </si>
  <si>
    <t>Ток сборныш шин, А</t>
  </si>
  <si>
    <t>Заполните только ячейки, выделенные жирным курсивом</t>
  </si>
  <si>
    <t>1. Введите количество шкафов данного типа</t>
  </si>
  <si>
    <t>2. Введите значения токов предполагаемых аппаратов. При выборе "АВР+Собственные нужды" в шкаф автоматически закладывается нагрузка в 150А.</t>
  </si>
  <si>
    <t>3. Продолжайте расчет на Этапе 3</t>
  </si>
  <si>
    <t>Длинна шинопровода, мм</t>
  </si>
  <si>
    <t>Кол-во компл.</t>
  </si>
  <si>
    <t>Введите общие данные для низковольтного комплектного устройства</t>
  </si>
  <si>
    <t>Введите параметры для расчета шкафов</t>
  </si>
  <si>
    <t>Количество шкафов заполняется ниже на Этапе 2</t>
  </si>
  <si>
    <t>Ширина корпуса, мм</t>
  </si>
  <si>
    <t>Выберите необходимые дополнительные аксессуары</t>
  </si>
  <si>
    <t>Рейка монтажная перфорированная, 1кмп.=2шт</t>
  </si>
  <si>
    <t>AleSta-DK</t>
  </si>
  <si>
    <t>Комплект соединения оболочек AleSta EKF</t>
  </si>
  <si>
    <t>AleSta-ART300</t>
  </si>
  <si>
    <t>AleSta-ART400</t>
  </si>
  <si>
    <t>AleSta-ART600</t>
  </si>
  <si>
    <t>AleSta-ART800</t>
  </si>
  <si>
    <t>Рейка монтажная широкая перфорированная Д300 (2 шт) EKF AleSta</t>
  </si>
  <si>
    <t>Рейка монтажная широкая перфорированная, 1кмп.=2шт</t>
  </si>
  <si>
    <t>Рейка монтажная перфорированная с внешним креплением, 1кмп.=2шт</t>
  </si>
  <si>
    <t>Рейка монтажная перфорированная с внешним креплением Д300 (2 шт) EKF AleSta</t>
  </si>
  <si>
    <t>AleSta-ARW300</t>
  </si>
  <si>
    <t>AleSta-ARW400</t>
  </si>
  <si>
    <t>Рейка монтажная широкая перфорированная Д400 (2 шт) EKF AleSta</t>
  </si>
  <si>
    <t>AleSta-ARW600</t>
  </si>
  <si>
    <t>Рейка монтажная широкая перфорированная Д600 (2 шт) EKF AleSta</t>
  </si>
  <si>
    <t>AleSta-ARW800</t>
  </si>
  <si>
    <t>Рейка монтажная широкая перфорированная Д800 (2 шт) EKF AleSta</t>
  </si>
  <si>
    <t>Длина магистрали</t>
  </si>
  <si>
    <t>Длина опуска 1</t>
  </si>
  <si>
    <t>Длина опуска 2</t>
  </si>
  <si>
    <t>Длина опуска 3</t>
  </si>
  <si>
    <t>Длина опуска 4</t>
  </si>
  <si>
    <t>Длина опуска 5</t>
  </si>
  <si>
    <t>Длина опуска 6</t>
  </si>
  <si>
    <t>фаза</t>
  </si>
  <si>
    <t>итог</t>
  </si>
  <si>
    <t>1х</t>
  </si>
  <si>
    <t>2х</t>
  </si>
  <si>
    <t>3х</t>
  </si>
  <si>
    <t>маг</t>
  </si>
  <si>
    <t>опуск</t>
  </si>
  <si>
    <t>Рейка монтажная перфорированная с внешним креплением Д400 (2 шт) EKF AleSta</t>
  </si>
  <si>
    <t>Рейка монтажная перфорированная с внешним креплением Д600 (2 шт) EKF AleSta</t>
  </si>
  <si>
    <t>Рейка монтажная перфорированная с внешним креплением Д800 (2 шт) EKF AleSta</t>
  </si>
  <si>
    <t xml:space="preserve">Конфигуратор </t>
  </si>
  <si>
    <t>если одинарный</t>
  </si>
  <si>
    <t>если двойной</t>
  </si>
  <si>
    <t>Расчет НКУ ver.1.2.9/Разработано совместно с компанией PR-si, по вопросам сотрудничества и предложениям обращаться по телефону +7 981 827 11 06/hello@pr-si.ru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</si>
</sst>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#,##0.00000"/>
  </numFmts>
  <fonts count="29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Verdana"/>
      <family val="2"/>
      <charset val="204"/>
    </font>
    <font>
      <b/>
      <sz val="10"/>
      <name val="Verdana"/>
      <family val="2"/>
      <charset val="204"/>
    </font>
    <font>
      <sz val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name val="Verdana"/>
      <family val="2"/>
      <charset val="204"/>
    </font>
    <font>
      <sz val="11"/>
      <name val="Calibri"/>
      <family val="2"/>
      <charset val="204"/>
      <scheme val="minor"/>
    </font>
    <font>
      <b/>
      <sz val="11"/>
      <name val="Verdana"/>
      <family val="2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i/>
      <sz val="16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sz val="16"/>
      <color rgb="FFC00000"/>
      <name val="Calibri"/>
      <family val="2"/>
      <charset val="204"/>
      <scheme val="minor"/>
    </font>
    <font>
      <b/>
      <i/>
      <sz val="26"/>
      <color rgb="FFC00000"/>
      <name val="Calibri"/>
      <family val="2"/>
      <charset val="204"/>
      <scheme val="minor"/>
    </font>
    <font>
      <b/>
      <i/>
      <sz val="14"/>
      <color rgb="FFC0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36"/>
      <color rgb="FF000000"/>
      <name val="Calibri"/>
      <family val="2"/>
      <charset val="204"/>
    </font>
    <font>
      <sz val="11"/>
      <color rgb="FF1A1A1A"/>
      <name val="Segoe UI"/>
      <family val="2"/>
      <charset val="204"/>
    </font>
    <font>
      <sz val="11"/>
      <color rgb="FFE95C49"/>
      <name val="Calibri"/>
      <family val="2"/>
      <charset val="204"/>
      <scheme val="minor"/>
    </font>
    <font>
      <sz val="12"/>
      <color rgb="FFE95C49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DA081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/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medium">
        <color indexed="64"/>
      </top>
      <bottom style="medium">
        <color indexed="64"/>
      </bottom>
      <diagonal/>
    </border>
    <border>
      <left/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medium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8" fillId="0" borderId="0"/>
    <xf numFmtId="43" fontId="5" fillId="0" borderId="0" applyFont="0" applyFill="0" applyBorder="0" applyAlignment="0" applyProtection="0"/>
  </cellStyleXfs>
  <cellXfs count="454">
    <xf numFmtId="0" fontId="0" fillId="0" borderId="0" xfId="0"/>
    <xf numFmtId="0" fontId="4" fillId="0" borderId="0" xfId="0" applyFont="1" applyAlignment="1">
      <alignment horizontal="left"/>
    </xf>
    <xf numFmtId="0" fontId="0" fillId="0" borderId="0" xfId="0" applyProtection="1">
      <protection locked="0" hidden="1"/>
    </xf>
    <xf numFmtId="0" fontId="9" fillId="7" borderId="1" xfId="5" applyFont="1" applyFill="1" applyBorder="1" applyAlignment="1">
      <alignment horizontal="center" vertical="center"/>
    </xf>
    <xf numFmtId="0" fontId="9" fillId="7" borderId="4" xfId="5" applyFont="1" applyFill="1" applyBorder="1" applyAlignment="1">
      <alignment horizontal="center" vertical="center" wrapText="1"/>
    </xf>
    <xf numFmtId="0" fontId="9" fillId="7" borderId="1" xfId="5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9" fillId="7" borderId="2" xfId="5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0" fillId="8" borderId="0" xfId="0" applyFill="1"/>
    <xf numFmtId="0" fontId="2" fillId="8" borderId="1" xfId="0" applyFont="1" applyFill="1" applyBorder="1" applyAlignment="1">
      <alignment horizontal="left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1" fillId="8" borderId="2" xfId="1" applyFill="1" applyBorder="1"/>
    <xf numFmtId="0" fontId="1" fillId="8" borderId="1" xfId="1" applyFill="1" applyBorder="1"/>
    <xf numFmtId="0" fontId="2" fillId="8" borderId="3" xfId="0" applyFont="1" applyFill="1" applyBorder="1" applyAlignment="1">
      <alignment horizontal="right" vertical="center"/>
    </xf>
    <xf numFmtId="0" fontId="2" fillId="8" borderId="1" xfId="0" applyFont="1" applyFill="1" applyBorder="1" applyAlignment="1">
      <alignment horizontal="center" vertical="center"/>
    </xf>
    <xf numFmtId="4" fontId="2" fillId="8" borderId="1" xfId="0" applyNumberFormat="1" applyFont="1" applyFill="1" applyBorder="1" applyAlignment="1">
      <alignment horizontal="right" vertical="center"/>
    </xf>
    <xf numFmtId="4" fontId="3" fillId="8" borderId="1" xfId="0" applyNumberFormat="1" applyFont="1" applyFill="1" applyBorder="1" applyAlignment="1">
      <alignment horizontal="right" vertical="center"/>
    </xf>
    <xf numFmtId="2" fontId="2" fillId="8" borderId="1" xfId="0" applyNumberFormat="1" applyFont="1" applyFill="1" applyBorder="1" applyAlignment="1">
      <alignment horizontal="right" vertical="center"/>
    </xf>
    <xf numFmtId="0" fontId="2" fillId="8" borderId="1" xfId="0" applyFont="1" applyFill="1" applyBorder="1" applyAlignment="1">
      <alignment horizontal="left" vertical="center"/>
    </xf>
    <xf numFmtId="164" fontId="2" fillId="8" borderId="1" xfId="0" applyNumberFormat="1" applyFont="1" applyFill="1" applyBorder="1" applyAlignment="1">
      <alignment horizontal="right" vertical="center"/>
    </xf>
    <xf numFmtId="0" fontId="2" fillId="8" borderId="1" xfId="0" applyFont="1" applyFill="1" applyBorder="1" applyAlignment="1">
      <alignment horizontal="right" vertical="center"/>
    </xf>
    <xf numFmtId="0" fontId="4" fillId="8" borderId="0" xfId="0" applyFont="1" applyFill="1" applyAlignment="1">
      <alignment horizontal="left"/>
    </xf>
    <xf numFmtId="4" fontId="2" fillId="8" borderId="0" xfId="0" applyNumberFormat="1" applyFont="1" applyFill="1" applyAlignment="1">
      <alignment horizontal="right" vertical="center"/>
    </xf>
    <xf numFmtId="4" fontId="3" fillId="8" borderId="0" xfId="0" applyNumberFormat="1" applyFont="1" applyFill="1" applyAlignment="1">
      <alignment horizontal="right" vertical="center"/>
    </xf>
    <xf numFmtId="2" fontId="2" fillId="8" borderId="0" xfId="0" applyNumberFormat="1" applyFont="1" applyFill="1" applyAlignment="1">
      <alignment horizontal="right" vertical="center"/>
    </xf>
    <xf numFmtId="0" fontId="2" fillId="8" borderId="0" xfId="0" applyFont="1" applyFill="1" applyAlignment="1">
      <alignment horizontal="left" vertical="center" wrapText="1"/>
    </xf>
    <xf numFmtId="0" fontId="2" fillId="8" borderId="0" xfId="0" applyFont="1" applyFill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164" fontId="2" fillId="8" borderId="0" xfId="0" applyNumberFormat="1" applyFont="1" applyFill="1" applyAlignment="1">
      <alignment horizontal="right" vertical="center"/>
    </xf>
    <xf numFmtId="0" fontId="2" fillId="8" borderId="0" xfId="0" applyFont="1" applyFill="1" applyAlignment="1">
      <alignment horizontal="right" vertical="center"/>
    </xf>
    <xf numFmtId="4" fontId="0" fillId="8" borderId="0" xfId="0" applyNumberFormat="1" applyFill="1"/>
    <xf numFmtId="0" fontId="2" fillId="9" borderId="1" xfId="0" applyFont="1" applyFill="1" applyBorder="1" applyAlignment="1">
      <alignment horizontal="left" vertical="center" wrapText="1"/>
    </xf>
    <xf numFmtId="0" fontId="2" fillId="9" borderId="2" xfId="0" applyFont="1" applyFill="1" applyBorder="1" applyAlignment="1">
      <alignment horizontal="left" vertical="center" wrapText="1"/>
    </xf>
    <xf numFmtId="0" fontId="1" fillId="9" borderId="2" xfId="1" applyFill="1" applyBorder="1"/>
    <xf numFmtId="0" fontId="1" fillId="9" borderId="1" xfId="1" applyFill="1" applyBorder="1"/>
    <xf numFmtId="0" fontId="2" fillId="9" borderId="3" xfId="0" applyFont="1" applyFill="1" applyBorder="1" applyAlignment="1">
      <alignment horizontal="right" vertical="center"/>
    </xf>
    <xf numFmtId="0" fontId="2" fillId="9" borderId="1" xfId="0" applyFont="1" applyFill="1" applyBorder="1" applyAlignment="1">
      <alignment horizontal="center" vertical="center"/>
    </xf>
    <xf numFmtId="4" fontId="2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2" fontId="2" fillId="9" borderId="1" xfId="0" applyNumberFormat="1" applyFont="1" applyFill="1" applyBorder="1" applyAlignment="1">
      <alignment horizontal="right" vertical="center"/>
    </xf>
    <xf numFmtId="0" fontId="2" fillId="9" borderId="1" xfId="0" applyFont="1" applyFill="1" applyBorder="1" applyAlignment="1">
      <alignment horizontal="left" vertical="center"/>
    </xf>
    <xf numFmtId="164" fontId="2" fillId="9" borderId="1" xfId="0" applyNumberFormat="1" applyFont="1" applyFill="1" applyBorder="1" applyAlignment="1">
      <alignment horizontal="right" vertical="center"/>
    </xf>
    <xf numFmtId="0" fontId="2" fillId="9" borderId="1" xfId="0" applyFont="1" applyFill="1" applyBorder="1" applyAlignment="1">
      <alignment horizontal="right" vertical="center"/>
    </xf>
    <xf numFmtId="0" fontId="4" fillId="9" borderId="0" xfId="0" applyFont="1" applyFill="1" applyAlignment="1">
      <alignment horizontal="left"/>
    </xf>
    <xf numFmtId="0" fontId="2" fillId="10" borderId="1" xfId="0" applyFont="1" applyFill="1" applyBorder="1" applyAlignment="1">
      <alignment horizontal="left" vertical="center" wrapText="1"/>
    </xf>
    <xf numFmtId="0" fontId="2" fillId="10" borderId="2" xfId="0" applyFont="1" applyFill="1" applyBorder="1" applyAlignment="1">
      <alignment horizontal="left" vertical="center" wrapText="1"/>
    </xf>
    <xf numFmtId="0" fontId="1" fillId="10" borderId="2" xfId="1" applyFill="1" applyBorder="1"/>
    <xf numFmtId="0" fontId="1" fillId="10" borderId="1" xfId="1" applyFill="1" applyBorder="1"/>
    <xf numFmtId="0" fontId="2" fillId="10" borderId="3" xfId="0" applyFont="1" applyFill="1" applyBorder="1" applyAlignment="1">
      <alignment horizontal="right" vertical="center"/>
    </xf>
    <xf numFmtId="0" fontId="2" fillId="10" borderId="1" xfId="0" applyFont="1" applyFill="1" applyBorder="1" applyAlignment="1">
      <alignment horizontal="center" vertical="center"/>
    </xf>
    <xf numFmtId="4" fontId="2" fillId="10" borderId="1" xfId="0" applyNumberFormat="1" applyFont="1" applyFill="1" applyBorder="1" applyAlignment="1">
      <alignment horizontal="right" vertical="center"/>
    </xf>
    <xf numFmtId="4" fontId="3" fillId="10" borderId="1" xfId="0" applyNumberFormat="1" applyFont="1" applyFill="1" applyBorder="1" applyAlignment="1">
      <alignment horizontal="right" vertical="center"/>
    </xf>
    <xf numFmtId="2" fontId="2" fillId="10" borderId="1" xfId="0" applyNumberFormat="1" applyFont="1" applyFill="1" applyBorder="1" applyAlignment="1">
      <alignment horizontal="right" vertical="center"/>
    </xf>
    <xf numFmtId="0" fontId="2" fillId="10" borderId="1" xfId="0" applyFont="1" applyFill="1" applyBorder="1" applyAlignment="1">
      <alignment horizontal="left" vertical="center"/>
    </xf>
    <xf numFmtId="164" fontId="2" fillId="10" borderId="1" xfId="0" applyNumberFormat="1" applyFont="1" applyFill="1" applyBorder="1" applyAlignment="1">
      <alignment horizontal="right" vertical="center"/>
    </xf>
    <xf numFmtId="0" fontId="2" fillId="10" borderId="1" xfId="0" applyFont="1" applyFill="1" applyBorder="1" applyAlignment="1">
      <alignment horizontal="right" vertical="center"/>
    </xf>
    <xf numFmtId="0" fontId="0" fillId="9" borderId="0" xfId="0" applyFill="1"/>
    <xf numFmtId="0" fontId="2" fillId="11" borderId="1" xfId="0" applyFont="1" applyFill="1" applyBorder="1" applyAlignment="1">
      <alignment horizontal="left" vertical="center" wrapText="1"/>
    </xf>
    <xf numFmtId="0" fontId="2" fillId="11" borderId="2" xfId="0" applyFont="1" applyFill="1" applyBorder="1" applyAlignment="1">
      <alignment horizontal="left" vertical="center" wrapText="1"/>
    </xf>
    <xf numFmtId="0" fontId="1" fillId="11" borderId="2" xfId="1" applyFill="1" applyBorder="1"/>
    <xf numFmtId="0" fontId="1" fillId="11" borderId="1" xfId="1" applyFill="1" applyBorder="1"/>
    <xf numFmtId="0" fontId="2" fillId="11" borderId="3" xfId="0" applyFont="1" applyFill="1" applyBorder="1" applyAlignment="1">
      <alignment horizontal="right" vertical="center"/>
    </xf>
    <xf numFmtId="0" fontId="2" fillId="11" borderId="1" xfId="0" applyFont="1" applyFill="1" applyBorder="1" applyAlignment="1">
      <alignment horizontal="center" vertical="center"/>
    </xf>
    <xf numFmtId="4" fontId="2" fillId="11" borderId="1" xfId="0" applyNumberFormat="1" applyFont="1" applyFill="1" applyBorder="1" applyAlignment="1">
      <alignment horizontal="right" vertical="center"/>
    </xf>
    <xf numFmtId="4" fontId="3" fillId="11" borderId="1" xfId="0" applyNumberFormat="1" applyFont="1" applyFill="1" applyBorder="1" applyAlignment="1">
      <alignment horizontal="right" vertical="center"/>
    </xf>
    <xf numFmtId="2" fontId="2" fillId="11" borderId="1" xfId="0" applyNumberFormat="1" applyFont="1" applyFill="1" applyBorder="1" applyAlignment="1">
      <alignment horizontal="right" vertical="center"/>
    </xf>
    <xf numFmtId="0" fontId="2" fillId="11" borderId="1" xfId="0" applyFont="1" applyFill="1" applyBorder="1" applyAlignment="1">
      <alignment horizontal="left" vertical="center"/>
    </xf>
    <xf numFmtId="164" fontId="2" fillId="11" borderId="1" xfId="0" applyNumberFormat="1" applyFont="1" applyFill="1" applyBorder="1" applyAlignment="1">
      <alignment horizontal="right" vertical="center"/>
    </xf>
    <xf numFmtId="0" fontId="2" fillId="11" borderId="1" xfId="0" applyFont="1" applyFill="1" applyBorder="1" applyAlignment="1">
      <alignment horizontal="right" vertical="center"/>
    </xf>
    <xf numFmtId="0" fontId="2" fillId="12" borderId="1" xfId="0" applyFont="1" applyFill="1" applyBorder="1" applyAlignment="1">
      <alignment horizontal="left" vertical="center" wrapText="1"/>
    </xf>
    <xf numFmtId="0" fontId="2" fillId="12" borderId="2" xfId="0" applyFont="1" applyFill="1" applyBorder="1" applyAlignment="1">
      <alignment horizontal="left" vertical="center" wrapText="1"/>
    </xf>
    <xf numFmtId="0" fontId="1" fillId="12" borderId="2" xfId="1" applyFill="1" applyBorder="1"/>
    <xf numFmtId="0" fontId="1" fillId="12" borderId="1" xfId="1" applyFill="1" applyBorder="1"/>
    <xf numFmtId="0" fontId="2" fillId="12" borderId="3" xfId="0" applyFont="1" applyFill="1" applyBorder="1" applyAlignment="1">
      <alignment horizontal="right" vertical="center"/>
    </xf>
    <xf numFmtId="0" fontId="2" fillId="12" borderId="1" xfId="0" applyFont="1" applyFill="1" applyBorder="1" applyAlignment="1">
      <alignment horizontal="center" vertical="center"/>
    </xf>
    <xf numFmtId="4" fontId="2" fillId="12" borderId="1" xfId="0" applyNumberFormat="1" applyFont="1" applyFill="1" applyBorder="1" applyAlignment="1">
      <alignment horizontal="right" vertical="center"/>
    </xf>
    <xf numFmtId="4" fontId="3" fillId="12" borderId="1" xfId="0" applyNumberFormat="1" applyFont="1" applyFill="1" applyBorder="1" applyAlignment="1">
      <alignment horizontal="right" vertical="center"/>
    </xf>
    <xf numFmtId="2" fontId="2" fillId="12" borderId="1" xfId="0" applyNumberFormat="1" applyFont="1" applyFill="1" applyBorder="1" applyAlignment="1">
      <alignment horizontal="right" vertical="center"/>
    </xf>
    <xf numFmtId="0" fontId="2" fillId="12" borderId="1" xfId="0" applyFont="1" applyFill="1" applyBorder="1" applyAlignment="1">
      <alignment horizontal="left" vertical="center"/>
    </xf>
    <xf numFmtId="164" fontId="2" fillId="12" borderId="1" xfId="0" applyNumberFormat="1" applyFont="1" applyFill="1" applyBorder="1" applyAlignment="1">
      <alignment horizontal="right" vertical="center"/>
    </xf>
    <xf numFmtId="0" fontId="2" fillId="12" borderId="1" xfId="0" applyFont="1" applyFill="1" applyBorder="1" applyAlignment="1">
      <alignment horizontal="right" vertical="center"/>
    </xf>
    <xf numFmtId="0" fontId="0" fillId="12" borderId="0" xfId="0" applyFill="1"/>
    <xf numFmtId="0" fontId="2" fillId="13" borderId="1" xfId="0" applyFont="1" applyFill="1" applyBorder="1" applyAlignment="1">
      <alignment horizontal="left" vertical="center" wrapText="1"/>
    </xf>
    <xf numFmtId="0" fontId="2" fillId="13" borderId="2" xfId="0" applyFont="1" applyFill="1" applyBorder="1" applyAlignment="1">
      <alignment horizontal="left" vertical="center" wrapText="1"/>
    </xf>
    <xf numFmtId="0" fontId="1" fillId="13" borderId="2" xfId="1" applyFill="1" applyBorder="1"/>
    <xf numFmtId="0" fontId="1" fillId="13" borderId="1" xfId="1" applyFill="1" applyBorder="1"/>
    <xf numFmtId="0" fontId="2" fillId="13" borderId="3" xfId="0" applyFont="1" applyFill="1" applyBorder="1" applyAlignment="1">
      <alignment horizontal="right" vertical="center"/>
    </xf>
    <xf numFmtId="0" fontId="2" fillId="13" borderId="1" xfId="0" applyFont="1" applyFill="1" applyBorder="1" applyAlignment="1">
      <alignment horizontal="center" vertical="center"/>
    </xf>
    <xf numFmtId="4" fontId="2" fillId="13" borderId="1" xfId="0" applyNumberFormat="1" applyFont="1" applyFill="1" applyBorder="1" applyAlignment="1">
      <alignment horizontal="right" vertical="center"/>
    </xf>
    <xf numFmtId="4" fontId="3" fillId="13" borderId="1" xfId="0" applyNumberFormat="1" applyFont="1" applyFill="1" applyBorder="1" applyAlignment="1">
      <alignment horizontal="right" vertical="center"/>
    </xf>
    <xf numFmtId="2" fontId="2" fillId="13" borderId="1" xfId="0" applyNumberFormat="1" applyFont="1" applyFill="1" applyBorder="1" applyAlignment="1">
      <alignment horizontal="right" vertical="center"/>
    </xf>
    <xf numFmtId="0" fontId="2" fillId="13" borderId="1" xfId="0" applyFont="1" applyFill="1" applyBorder="1" applyAlignment="1">
      <alignment horizontal="left" vertical="center"/>
    </xf>
    <xf numFmtId="164" fontId="2" fillId="13" borderId="1" xfId="0" applyNumberFormat="1" applyFont="1" applyFill="1" applyBorder="1" applyAlignment="1">
      <alignment horizontal="right" vertical="center"/>
    </xf>
    <xf numFmtId="0" fontId="2" fillId="13" borderId="1" xfId="0" applyFont="1" applyFill="1" applyBorder="1" applyAlignment="1">
      <alignment horizontal="right" vertical="center"/>
    </xf>
    <xf numFmtId="0" fontId="0" fillId="13" borderId="0" xfId="0" applyFill="1"/>
    <xf numFmtId="0" fontId="0" fillId="10" borderId="0" xfId="0" applyFill="1"/>
    <xf numFmtId="0" fontId="4" fillId="10" borderId="0" xfId="0" applyFont="1" applyFill="1" applyAlignment="1">
      <alignment horizontal="left"/>
    </xf>
    <xf numFmtId="0" fontId="2" fillId="14" borderId="2" xfId="0" applyFont="1" applyFill="1" applyBorder="1" applyAlignment="1">
      <alignment horizontal="left" vertical="center" wrapText="1"/>
    </xf>
    <xf numFmtId="0" fontId="2" fillId="14" borderId="1" xfId="0" applyFont="1" applyFill="1" applyBorder="1" applyAlignment="1">
      <alignment horizontal="left" vertical="center" wrapText="1"/>
    </xf>
    <xf numFmtId="0" fontId="0" fillId="5" borderId="2" xfId="0" applyFill="1" applyBorder="1" applyProtection="1">
      <protection locked="0" hidden="1"/>
    </xf>
    <xf numFmtId="0" fontId="0" fillId="5" borderId="2" xfId="0" applyFill="1" applyBorder="1" applyAlignment="1" applyProtection="1">
      <alignment horizontal="center"/>
      <protection locked="0" hidden="1"/>
    </xf>
    <xf numFmtId="0" fontId="0" fillId="5" borderId="34" xfId="0" applyFill="1" applyBorder="1" applyProtection="1">
      <protection locked="0" hidden="1"/>
    </xf>
    <xf numFmtId="0" fontId="0" fillId="0" borderId="2" xfId="0" applyBorder="1" applyAlignment="1" applyProtection="1">
      <alignment horizontal="center"/>
      <protection locked="0" hidden="1"/>
    </xf>
    <xf numFmtId="0" fontId="0" fillId="0" borderId="34" xfId="0" applyBorder="1" applyAlignment="1" applyProtection="1">
      <alignment horizont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1" fillId="14" borderId="2" xfId="1" applyFill="1" applyBorder="1"/>
    <xf numFmtId="0" fontId="1" fillId="14" borderId="1" xfId="1" applyFill="1" applyBorder="1"/>
    <xf numFmtId="0" fontId="2" fillId="14" borderId="3" xfId="0" applyFont="1" applyFill="1" applyBorder="1" applyAlignment="1">
      <alignment horizontal="right" vertical="center"/>
    </xf>
    <xf numFmtId="0" fontId="2" fillId="14" borderId="1" xfId="0" applyFont="1" applyFill="1" applyBorder="1" applyAlignment="1">
      <alignment horizontal="center" vertical="center"/>
    </xf>
    <xf numFmtId="4" fontId="2" fillId="14" borderId="1" xfId="0" applyNumberFormat="1" applyFont="1" applyFill="1" applyBorder="1" applyAlignment="1">
      <alignment horizontal="right" vertical="center"/>
    </xf>
    <xf numFmtId="4" fontId="3" fillId="14" borderId="1" xfId="0" applyNumberFormat="1" applyFont="1" applyFill="1" applyBorder="1" applyAlignment="1">
      <alignment horizontal="right" vertical="center"/>
    </xf>
    <xf numFmtId="2" fontId="2" fillId="14" borderId="1" xfId="0" applyNumberFormat="1" applyFont="1" applyFill="1" applyBorder="1" applyAlignment="1">
      <alignment horizontal="right" vertical="center"/>
    </xf>
    <xf numFmtId="0" fontId="2" fillId="14" borderId="1" xfId="0" applyFont="1" applyFill="1" applyBorder="1" applyAlignment="1">
      <alignment horizontal="left" vertical="center"/>
    </xf>
    <xf numFmtId="164" fontId="2" fillId="14" borderId="1" xfId="0" applyNumberFormat="1" applyFont="1" applyFill="1" applyBorder="1" applyAlignment="1">
      <alignment horizontal="right" vertical="center"/>
    </xf>
    <xf numFmtId="0" fontId="2" fillId="14" borderId="1" xfId="0" applyFont="1" applyFill="1" applyBorder="1" applyAlignment="1">
      <alignment horizontal="right" vertical="center"/>
    </xf>
    <xf numFmtId="0" fontId="4" fillId="14" borderId="0" xfId="0" applyFont="1" applyFill="1" applyAlignment="1">
      <alignment horizontal="left"/>
    </xf>
    <xf numFmtId="0" fontId="0" fillId="0" borderId="1" xfId="0" applyBorder="1" applyAlignment="1" applyProtection="1">
      <alignment horizontal="center" vertical="center"/>
      <protection locked="0" hidden="1"/>
    </xf>
    <xf numFmtId="0" fontId="0" fillId="0" borderId="0" xfId="0" applyProtection="1">
      <protection hidden="1"/>
    </xf>
    <xf numFmtId="0" fontId="15" fillId="5" borderId="19" xfId="0" applyFont="1" applyFill="1" applyBorder="1" applyAlignment="1" applyProtection="1">
      <alignment horizontal="center" vertical="center" wrapText="1"/>
      <protection locked="0" hidden="1"/>
    </xf>
    <xf numFmtId="0" fontId="15" fillId="5" borderId="18" xfId="0" applyFont="1" applyFill="1" applyBorder="1" applyAlignment="1" applyProtection="1">
      <alignment horizontal="center" vertical="center" wrapText="1"/>
      <protection locked="0" hidden="1"/>
    </xf>
    <xf numFmtId="0" fontId="15" fillId="5" borderId="1" xfId="0" applyFont="1" applyFill="1" applyBorder="1" applyAlignment="1" applyProtection="1">
      <alignment horizontal="center" vertical="center" wrapText="1"/>
      <protection locked="0" hidden="1"/>
    </xf>
    <xf numFmtId="0" fontId="15" fillId="5" borderId="28" xfId="0" applyFont="1" applyFill="1" applyBorder="1" applyAlignment="1" applyProtection="1">
      <alignment horizontal="center" vertical="center" wrapText="1"/>
      <protection locked="0" hidden="1"/>
    </xf>
    <xf numFmtId="0" fontId="15" fillId="5" borderId="4" xfId="0" applyFont="1" applyFill="1" applyBorder="1" applyAlignment="1" applyProtection="1">
      <alignment horizontal="center" vertical="center" wrapText="1"/>
      <protection locked="0" hidden="1"/>
    </xf>
    <xf numFmtId="0" fontId="15" fillId="5" borderId="29" xfId="0" applyFont="1" applyFill="1" applyBorder="1" applyAlignment="1" applyProtection="1">
      <alignment horizontal="center" vertical="center" wrapText="1"/>
      <protection locked="0" hidden="1"/>
    </xf>
    <xf numFmtId="0" fontId="0" fillId="0" borderId="1" xfId="0" applyBorder="1" applyProtection="1">
      <protection hidden="1"/>
    </xf>
    <xf numFmtId="11" fontId="0" fillId="0" borderId="1" xfId="0" applyNumberFormat="1" applyBorder="1" applyProtection="1">
      <protection hidden="1"/>
    </xf>
    <xf numFmtId="43" fontId="0" fillId="0" borderId="1" xfId="6" applyFont="1" applyFill="1" applyBorder="1" applyProtection="1">
      <protection hidden="1"/>
    </xf>
    <xf numFmtId="0" fontId="0" fillId="0" borderId="27" xfId="0" applyBorder="1" applyProtection="1">
      <protection hidden="1"/>
    </xf>
    <xf numFmtId="0" fontId="12" fillId="0" borderId="27" xfId="0" applyFont="1" applyBorder="1" applyAlignment="1" applyProtection="1">
      <alignment horizontal="center" vertical="center"/>
      <protection hidden="1"/>
    </xf>
    <xf numFmtId="43" fontId="12" fillId="0" borderId="27" xfId="6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Protection="1">
      <protection hidden="1"/>
    </xf>
    <xf numFmtId="43" fontId="0" fillId="0" borderId="4" xfId="6" applyFont="1" applyFill="1" applyBorder="1" applyProtection="1">
      <protection hidden="1"/>
    </xf>
    <xf numFmtId="43" fontId="0" fillId="0" borderId="27" xfId="6" applyFont="1" applyFill="1" applyBorder="1" applyProtection="1">
      <protection hidden="1"/>
    </xf>
    <xf numFmtId="0" fontId="12" fillId="0" borderId="27" xfId="0" applyFont="1" applyBorder="1" applyAlignment="1" applyProtection="1">
      <alignment horizontal="center" vertical="center" wrapText="1"/>
      <protection hidden="1"/>
    </xf>
    <xf numFmtId="43" fontId="0" fillId="0" borderId="3" xfId="6" applyFont="1" applyFill="1" applyBorder="1" applyProtection="1">
      <protection hidden="1"/>
    </xf>
    <xf numFmtId="0" fontId="14" fillId="16" borderId="34" xfId="0" applyFont="1" applyFill="1" applyBorder="1" applyProtection="1">
      <protection hidden="1"/>
    </xf>
    <xf numFmtId="0" fontId="14" fillId="16" borderId="37" xfId="0" applyFont="1" applyFill="1" applyBorder="1" applyProtection="1">
      <protection hidden="1"/>
    </xf>
    <xf numFmtId="0" fontId="14" fillId="16" borderId="35" xfId="0" applyFont="1" applyFill="1" applyBorder="1" applyProtection="1">
      <protection hidden="1"/>
    </xf>
    <xf numFmtId="0" fontId="19" fillId="16" borderId="37" xfId="0" applyFont="1" applyFill="1" applyBorder="1" applyProtection="1">
      <protection hidden="1"/>
    </xf>
    <xf numFmtId="0" fontId="18" fillId="14" borderId="48" xfId="0" applyFont="1" applyFill="1" applyBorder="1" applyProtection="1">
      <protection hidden="1"/>
    </xf>
    <xf numFmtId="0" fontId="18" fillId="14" borderId="49" xfId="0" applyFont="1" applyFill="1" applyBorder="1" applyProtection="1">
      <protection hidden="1"/>
    </xf>
    <xf numFmtId="0" fontId="18" fillId="14" borderId="47" xfId="0" applyFont="1" applyFill="1" applyBorder="1" applyProtection="1">
      <protection hidden="1"/>
    </xf>
    <xf numFmtId="0" fontId="2" fillId="0" borderId="1" xfId="0" applyFont="1" applyBorder="1" applyAlignment="1" applyProtection="1">
      <alignment horizontal="left" vertical="center" wrapText="1"/>
      <protection hidden="1"/>
    </xf>
    <xf numFmtId="0" fontId="2" fillId="0" borderId="2" xfId="0" applyFont="1" applyBorder="1" applyAlignment="1" applyProtection="1">
      <alignment horizontal="left" vertical="center" wrapText="1"/>
      <protection hidden="1"/>
    </xf>
    <xf numFmtId="4" fontId="0" fillId="0" borderId="1" xfId="0" applyNumberFormat="1" applyBorder="1" applyProtection="1">
      <protection hidden="1"/>
    </xf>
    <xf numFmtId="4" fontId="0" fillId="0" borderId="4" xfId="0" applyNumberFormat="1" applyBorder="1" applyProtection="1">
      <protection hidden="1"/>
    </xf>
    <xf numFmtId="0" fontId="2" fillId="0" borderId="27" xfId="0" applyFont="1" applyBorder="1" applyAlignment="1" applyProtection="1">
      <alignment horizontal="left" vertical="center" wrapText="1"/>
      <protection hidden="1"/>
    </xf>
    <xf numFmtId="0" fontId="13" fillId="0" borderId="4" xfId="0" applyFont="1" applyBorder="1" applyProtection="1">
      <protection hidden="1"/>
    </xf>
    <xf numFmtId="0" fontId="0" fillId="0" borderId="0" xfId="0" applyAlignment="1" applyProtection="1">
      <alignment vertical="center"/>
      <protection locked="0" hidden="1"/>
    </xf>
    <xf numFmtId="0" fontId="0" fillId="0" borderId="38" xfId="0" applyBorder="1" applyAlignment="1" applyProtection="1">
      <alignment horizontal="center" vertical="center"/>
      <protection locked="0" hidden="1"/>
    </xf>
    <xf numFmtId="0" fontId="0" fillId="5" borderId="17" xfId="0" applyFill="1" applyBorder="1" applyProtection="1">
      <protection locked="0" hidden="1"/>
    </xf>
    <xf numFmtId="0" fontId="0" fillId="5" borderId="24" xfId="0" applyFill="1" applyBorder="1" applyProtection="1">
      <protection locked="0" hidden="1"/>
    </xf>
    <xf numFmtId="0" fontId="2" fillId="8" borderId="2" xfId="0" applyFont="1" applyFill="1" applyBorder="1" applyAlignment="1" applyProtection="1">
      <alignment horizontal="left" vertical="center" wrapText="1"/>
      <protection locked="0" hidden="1"/>
    </xf>
    <xf numFmtId="0" fontId="2" fillId="8" borderId="1" xfId="0" applyFont="1" applyFill="1" applyBorder="1" applyAlignment="1" applyProtection="1">
      <alignment horizontal="left" vertical="center" wrapText="1"/>
      <protection locked="0" hidden="1"/>
    </xf>
    <xf numFmtId="0" fontId="15" fillId="0" borderId="2" xfId="0" applyFont="1" applyBorder="1" applyAlignment="1" applyProtection="1">
      <alignment horizontal="center" vertical="center" wrapText="1"/>
      <protection locked="0" hidden="1"/>
    </xf>
    <xf numFmtId="0" fontId="0" fillId="0" borderId="20" xfId="0" applyBorder="1" applyAlignment="1" applyProtection="1">
      <alignment horizontal="center" vertical="center"/>
      <protection locked="0" hidden="1"/>
    </xf>
    <xf numFmtId="0" fontId="0" fillId="0" borderId="26" xfId="0" applyBorder="1" applyAlignment="1" applyProtection="1">
      <alignment horizontal="center" vertical="center"/>
      <protection locked="0" hidden="1"/>
    </xf>
    <xf numFmtId="0" fontId="2" fillId="15" borderId="2" xfId="0" applyFont="1" applyFill="1" applyBorder="1" applyAlignment="1" applyProtection="1">
      <alignment horizontal="left" vertical="center" wrapText="1"/>
      <protection locked="0" hidden="1"/>
    </xf>
    <xf numFmtId="0" fontId="2" fillId="15" borderId="1" xfId="0" applyFont="1" applyFill="1" applyBorder="1" applyAlignment="1" applyProtection="1">
      <alignment horizontal="left" vertical="center" wrapText="1"/>
      <protection locked="0" hidden="1"/>
    </xf>
    <xf numFmtId="0" fontId="0" fillId="15" borderId="0" xfId="0" applyFill="1" applyProtection="1">
      <protection locked="0" hidden="1"/>
    </xf>
    <xf numFmtId="0" fontId="0" fillId="0" borderId="0" xfId="0" applyAlignment="1" applyProtection="1">
      <alignment horizontal="center" wrapText="1"/>
      <protection locked="0" hidden="1"/>
    </xf>
    <xf numFmtId="49" fontId="0" fillId="0" borderId="0" xfId="0" applyNumberFormat="1" applyProtection="1">
      <protection locked="0" hidden="1"/>
    </xf>
    <xf numFmtId="0" fontId="0" fillId="0" borderId="0" xfId="0" applyAlignment="1" applyProtection="1">
      <alignment wrapText="1"/>
      <protection locked="0" hidden="1"/>
    </xf>
    <xf numFmtId="0" fontId="0" fillId="0" borderId="0" xfId="0" applyAlignment="1" applyProtection="1">
      <alignment vertical="center" textRotation="90"/>
      <protection locked="0" hidden="1"/>
    </xf>
    <xf numFmtId="0" fontId="0" fillId="0" borderId="21" xfId="0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 wrapText="1"/>
      <protection locked="0" hidden="1"/>
    </xf>
    <xf numFmtId="0" fontId="2" fillId="8" borderId="2" xfId="0" applyFont="1" applyFill="1" applyBorder="1" applyAlignment="1" applyProtection="1">
      <alignment horizontal="center" vertical="center" wrapText="1"/>
      <protection locked="0" hidden="1"/>
    </xf>
    <xf numFmtId="0" fontId="2" fillId="8" borderId="1" xfId="0" applyFont="1" applyFill="1" applyBorder="1" applyAlignment="1" applyProtection="1">
      <alignment horizontal="center" vertical="center" wrapText="1"/>
      <protection locked="0" hidden="1"/>
    </xf>
    <xf numFmtId="0" fontId="2" fillId="15" borderId="2" xfId="0" applyFont="1" applyFill="1" applyBorder="1" applyAlignment="1" applyProtection="1">
      <alignment horizontal="center" vertical="center" wrapText="1"/>
      <protection locked="0" hidden="1"/>
    </xf>
    <xf numFmtId="0" fontId="2" fillId="15" borderId="1" xfId="0" applyFont="1" applyFill="1" applyBorder="1" applyAlignment="1" applyProtection="1">
      <alignment horizontal="center" vertical="center" wrapText="1"/>
      <protection locked="0" hidden="1"/>
    </xf>
    <xf numFmtId="0" fontId="0" fillId="15" borderId="0" xfId="0" applyFill="1" applyAlignment="1" applyProtection="1">
      <alignment horizontal="center" vertical="center" wrapText="1"/>
      <protection locked="0" hidden="1"/>
    </xf>
    <xf numFmtId="0" fontId="2" fillId="14" borderId="2" xfId="0" applyFont="1" applyFill="1" applyBorder="1" applyAlignment="1" applyProtection="1">
      <alignment horizontal="center" vertical="center" wrapText="1"/>
      <protection locked="0" hidden="1"/>
    </xf>
    <xf numFmtId="0" fontId="2" fillId="14" borderId="1" xfId="0" applyFont="1" applyFill="1" applyBorder="1" applyAlignment="1" applyProtection="1">
      <alignment horizontal="center" vertical="center" wrapText="1"/>
      <protection locked="0" hidden="1"/>
    </xf>
    <xf numFmtId="0" fontId="0" fillId="14" borderId="0" xfId="0" applyFill="1" applyAlignment="1" applyProtection="1">
      <alignment horizontal="center" vertical="center" wrapText="1"/>
      <protection locked="0" hidden="1"/>
    </xf>
    <xf numFmtId="0" fontId="2" fillId="14" borderId="2" xfId="0" applyFont="1" applyFill="1" applyBorder="1" applyAlignment="1" applyProtection="1">
      <alignment horizontal="left" vertical="center" wrapText="1"/>
      <protection locked="0" hidden="1"/>
    </xf>
    <xf numFmtId="0" fontId="2" fillId="14" borderId="1" xfId="0" applyFont="1" applyFill="1" applyBorder="1" applyAlignment="1" applyProtection="1">
      <alignment horizontal="left" vertical="center" wrapText="1"/>
      <protection locked="0" hidden="1"/>
    </xf>
    <xf numFmtId="0" fontId="0" fillId="14" borderId="0" xfId="0" applyFill="1" applyProtection="1">
      <protection locked="0" hidden="1"/>
    </xf>
    <xf numFmtId="0" fontId="6" fillId="0" borderId="0" xfId="0" applyFont="1" applyProtection="1">
      <protection locked="0" hidden="1"/>
    </xf>
    <xf numFmtId="0" fontId="6" fillId="0" borderId="13" xfId="0" applyFont="1" applyBorder="1" applyProtection="1">
      <protection locked="0" hidden="1"/>
    </xf>
    <xf numFmtId="0" fontId="0" fillId="0" borderId="14" xfId="0" applyBorder="1" applyProtection="1">
      <protection locked="0" hidden="1"/>
    </xf>
    <xf numFmtId="0" fontId="0" fillId="0" borderId="18" xfId="0" applyBorder="1" applyAlignment="1" applyProtection="1">
      <alignment vertical="center"/>
      <protection locked="0" hidden="1"/>
    </xf>
    <xf numFmtId="0" fontId="0" fillId="0" borderId="1" xfId="0" applyBorder="1" applyAlignment="1" applyProtection="1">
      <alignment vertical="center"/>
      <protection locked="0" hidden="1"/>
    </xf>
    <xf numFmtId="0" fontId="6" fillId="0" borderId="19" xfId="0" applyFont="1" applyBorder="1" applyAlignment="1" applyProtection="1">
      <alignment vertical="center" wrapText="1"/>
      <protection locked="0" hidden="1"/>
    </xf>
    <xf numFmtId="0" fontId="0" fillId="0" borderId="19" xfId="0" applyBorder="1" applyAlignment="1" applyProtection="1">
      <alignment vertical="center" wrapText="1"/>
      <protection locked="0" hidden="1"/>
    </xf>
    <xf numFmtId="0" fontId="2" fillId="6" borderId="2" xfId="0" applyFont="1" applyFill="1" applyBorder="1" applyAlignment="1" applyProtection="1">
      <alignment horizontal="left" vertical="center" wrapText="1"/>
      <protection locked="0" hidden="1"/>
    </xf>
    <xf numFmtId="0" fontId="2" fillId="6" borderId="1" xfId="0" applyFont="1" applyFill="1" applyBorder="1" applyAlignment="1" applyProtection="1">
      <alignment horizontal="left" vertical="center" wrapText="1"/>
      <protection locked="0" hidden="1"/>
    </xf>
    <xf numFmtId="0" fontId="0" fillId="6" borderId="0" xfId="0" applyFill="1" applyProtection="1">
      <protection locked="0" hidden="1"/>
    </xf>
    <xf numFmtId="0" fontId="0" fillId="0" borderId="20" xfId="0" applyBorder="1" applyAlignment="1" applyProtection="1">
      <alignment vertical="center"/>
      <protection locked="0" hidden="1"/>
    </xf>
    <xf numFmtId="0" fontId="0" fillId="0" borderId="26" xfId="0" applyBorder="1" applyAlignment="1" applyProtection="1">
      <alignment vertical="center"/>
      <protection locked="0" hidden="1"/>
    </xf>
    <xf numFmtId="0" fontId="0" fillId="0" borderId="21" xfId="0" applyBorder="1" applyAlignment="1" applyProtection="1">
      <alignment vertical="center" wrapText="1"/>
      <protection locked="0" hidden="1"/>
    </xf>
    <xf numFmtId="0" fontId="0" fillId="0" borderId="15" xfId="0" applyBorder="1" applyProtection="1">
      <protection locked="0" hidden="1"/>
    </xf>
    <xf numFmtId="4" fontId="0" fillId="8" borderId="0" xfId="0" applyNumberFormat="1" applyFill="1" applyProtection="1">
      <protection locked="0" hidden="1"/>
    </xf>
    <xf numFmtId="0" fontId="2" fillId="8" borderId="0" xfId="0" applyFont="1" applyFill="1" applyAlignment="1" applyProtection="1">
      <alignment horizontal="left" vertical="center" wrapText="1"/>
      <protection locked="0" hidden="1"/>
    </xf>
    <xf numFmtId="0" fontId="6" fillId="0" borderId="7" xfId="0" applyFont="1" applyBorder="1" applyProtection="1">
      <protection locked="0" hidden="1"/>
    </xf>
    <xf numFmtId="0" fontId="0" fillId="0" borderId="9" xfId="0" applyBorder="1" applyAlignment="1" applyProtection="1">
      <alignment horizontal="center"/>
      <protection locked="0" hidden="1"/>
    </xf>
    <xf numFmtId="0" fontId="6" fillId="0" borderId="14" xfId="0" applyFont="1" applyBorder="1" applyProtection="1">
      <protection locked="0" hidden="1"/>
    </xf>
    <xf numFmtId="0" fontId="6" fillId="0" borderId="5" xfId="0" applyFont="1" applyBorder="1" applyProtection="1">
      <protection locked="0" hidden="1"/>
    </xf>
    <xf numFmtId="0" fontId="6" fillId="0" borderId="6" xfId="0" applyFont="1" applyBorder="1" applyProtection="1">
      <protection locked="0" hidden="1"/>
    </xf>
    <xf numFmtId="0" fontId="0" fillId="0" borderId="8" xfId="0" applyBorder="1" applyProtection="1">
      <protection locked="0" hidden="1"/>
    </xf>
    <xf numFmtId="0" fontId="0" fillId="0" borderId="9" xfId="0" applyBorder="1" applyProtection="1">
      <protection locked="0" hidden="1"/>
    </xf>
    <xf numFmtId="0" fontId="0" fillId="0" borderId="10" xfId="0" applyBorder="1" applyProtection="1">
      <protection locked="0" hidden="1"/>
    </xf>
    <xf numFmtId="0" fontId="0" fillId="0" borderId="11" xfId="0" applyBorder="1" applyProtection="1">
      <protection locked="0" hidden="1"/>
    </xf>
    <xf numFmtId="0" fontId="0" fillId="0" borderId="12" xfId="0" applyBorder="1" applyProtection="1">
      <protection locked="0" hidden="1"/>
    </xf>
    <xf numFmtId="9" fontId="0" fillId="0" borderId="4" xfId="0" applyNumberFormat="1" applyBorder="1" applyProtection="1">
      <protection hidden="1"/>
    </xf>
    <xf numFmtId="43" fontId="14" fillId="0" borderId="4" xfId="6" applyFont="1" applyFill="1" applyBorder="1" applyProtection="1">
      <protection hidden="1"/>
    </xf>
    <xf numFmtId="43" fontId="0" fillId="0" borderId="0" xfId="6" applyFont="1" applyFill="1" applyProtection="1">
      <protection hidden="1"/>
    </xf>
    <xf numFmtId="0" fontId="15" fillId="0" borderId="2" xfId="0" applyFont="1" applyBorder="1" applyAlignment="1" applyProtection="1">
      <alignment horizontal="center" vertical="center"/>
      <protection locked="0" hidden="1"/>
    </xf>
    <xf numFmtId="0" fontId="0" fillId="0" borderId="1" xfId="2" applyFont="1" applyFill="1" applyBorder="1" applyAlignment="1" applyProtection="1">
      <alignment vertical="center"/>
      <protection locked="0" hidden="1"/>
    </xf>
    <xf numFmtId="0" fontId="5" fillId="0" borderId="1" xfId="2" applyFill="1" applyBorder="1" applyAlignment="1" applyProtection="1">
      <alignment horizontal="left" vertical="center" wrapText="1"/>
      <protection locked="0" hidden="1"/>
    </xf>
    <xf numFmtId="0" fontId="0" fillId="18" borderId="19" xfId="4" applyFont="1" applyFill="1" applyBorder="1" applyAlignment="1" applyProtection="1">
      <alignment horizontal="center" vertical="center" wrapText="1"/>
      <protection locked="0" hidden="1"/>
    </xf>
    <xf numFmtId="0" fontId="6" fillId="0" borderId="9" xfId="0" applyFont="1" applyBorder="1" applyProtection="1">
      <protection locked="0" hidden="1"/>
    </xf>
    <xf numFmtId="49" fontId="0" fillId="0" borderId="8" xfId="0" applyNumberFormat="1" applyBorder="1" applyProtection="1">
      <protection locked="0" hidden="1"/>
    </xf>
    <xf numFmtId="0" fontId="15" fillId="18" borderId="19" xfId="4" applyFont="1" applyFill="1" applyBorder="1" applyAlignment="1" applyProtection="1">
      <alignment horizontal="center" vertical="center" wrapText="1"/>
      <protection locked="0" hidden="1"/>
    </xf>
    <xf numFmtId="0" fontId="0" fillId="0" borderId="61" xfId="0" applyBorder="1" applyProtection="1">
      <protection locked="0" hidden="1"/>
    </xf>
    <xf numFmtId="0" fontId="20" fillId="0" borderId="61" xfId="0" applyFont="1" applyBorder="1" applyAlignment="1" applyProtection="1">
      <alignment vertical="center"/>
      <protection locked="0" hidden="1"/>
    </xf>
    <xf numFmtId="0" fontId="20" fillId="0" borderId="61" xfId="0" applyFont="1" applyBorder="1" applyProtection="1">
      <protection locked="0" hidden="1"/>
    </xf>
    <xf numFmtId="0" fontId="0" fillId="0" borderId="62" xfId="0" applyBorder="1" applyProtection="1">
      <protection locked="0" hidden="1"/>
    </xf>
    <xf numFmtId="0" fontId="20" fillId="0" borderId="62" xfId="0" applyFont="1" applyBorder="1" applyAlignment="1" applyProtection="1">
      <alignment vertical="center"/>
      <protection locked="0" hidden="1"/>
    </xf>
    <xf numFmtId="0" fontId="20" fillId="0" borderId="63" xfId="0" applyFont="1" applyBorder="1" applyAlignment="1" applyProtection="1">
      <alignment vertical="center"/>
      <protection locked="0" hidden="1"/>
    </xf>
    <xf numFmtId="0" fontId="20" fillId="0" borderId="0" xfId="0" applyFont="1" applyProtection="1">
      <protection locked="0" hidden="1"/>
    </xf>
    <xf numFmtId="49" fontId="5" fillId="0" borderId="67" xfId="2" applyNumberFormat="1" applyFill="1" applyBorder="1" applyAlignment="1" applyProtection="1">
      <alignment horizontal="center" vertical="center"/>
      <protection locked="0" hidden="1"/>
    </xf>
    <xf numFmtId="49" fontId="5" fillId="0" borderId="69" xfId="2" applyNumberFormat="1" applyFill="1" applyBorder="1" applyAlignment="1" applyProtection="1">
      <alignment horizontal="center" vertical="center"/>
      <protection locked="0" hidden="1"/>
    </xf>
    <xf numFmtId="49" fontId="5" fillId="0" borderId="71" xfId="2" applyNumberFormat="1" applyFill="1" applyBorder="1" applyAlignment="1" applyProtection="1">
      <alignment horizontal="center" vertical="center"/>
      <protection locked="0" hidden="1"/>
    </xf>
    <xf numFmtId="49" fontId="5" fillId="0" borderId="74" xfId="3" applyNumberFormat="1" applyFill="1" applyBorder="1" applyAlignment="1" applyProtection="1">
      <alignment horizontal="center" vertical="center"/>
      <protection locked="0" hidden="1"/>
    </xf>
    <xf numFmtId="49" fontId="5" fillId="0" borderId="69" xfId="3" applyNumberFormat="1" applyFill="1" applyBorder="1" applyAlignment="1" applyProtection="1">
      <alignment horizontal="center" vertical="center"/>
      <protection locked="0" hidden="1"/>
    </xf>
    <xf numFmtId="49" fontId="5" fillId="0" borderId="77" xfId="3" applyNumberFormat="1" applyFill="1" applyBorder="1" applyAlignment="1" applyProtection="1">
      <alignment horizontal="center" vertical="center"/>
      <protection locked="0" hidden="1"/>
    </xf>
    <xf numFmtId="0" fontId="25" fillId="0" borderId="1" xfId="0" applyFont="1" applyBorder="1"/>
    <xf numFmtId="0" fontId="2" fillId="8" borderId="4" xfId="0" applyFont="1" applyFill="1" applyBorder="1" applyAlignment="1">
      <alignment horizontal="left" vertical="center" wrapText="1"/>
    </xf>
    <xf numFmtId="0" fontId="2" fillId="8" borderId="34" xfId="0" applyFont="1" applyFill="1" applyBorder="1" applyAlignment="1">
      <alignment horizontal="left" vertical="center" wrapText="1"/>
    </xf>
    <xf numFmtId="0" fontId="1" fillId="8" borderId="34" xfId="1" applyFill="1" applyBorder="1"/>
    <xf numFmtId="0" fontId="1" fillId="8" borderId="4" xfId="1" applyFill="1" applyBorder="1"/>
    <xf numFmtId="0" fontId="2" fillId="8" borderId="35" xfId="0" applyFont="1" applyFill="1" applyBorder="1" applyAlignment="1">
      <alignment horizontal="right" vertical="center"/>
    </xf>
    <xf numFmtId="0" fontId="2" fillId="8" borderId="4" xfId="0" applyFont="1" applyFill="1" applyBorder="1" applyAlignment="1">
      <alignment horizontal="center" vertical="center"/>
    </xf>
    <xf numFmtId="4" fontId="2" fillId="8" borderId="4" xfId="0" applyNumberFormat="1" applyFont="1" applyFill="1" applyBorder="1" applyAlignment="1">
      <alignment horizontal="right" vertical="center"/>
    </xf>
    <xf numFmtId="4" fontId="3" fillId="8" borderId="4" xfId="0" applyNumberFormat="1" applyFont="1" applyFill="1" applyBorder="1" applyAlignment="1">
      <alignment horizontal="right" vertical="center"/>
    </xf>
    <xf numFmtId="2" fontId="2" fillId="8" borderId="4" xfId="0" applyNumberFormat="1" applyFont="1" applyFill="1" applyBorder="1" applyAlignment="1">
      <alignment horizontal="right" vertical="center"/>
    </xf>
    <xf numFmtId="0" fontId="2" fillId="8" borderId="4" xfId="0" applyFont="1" applyFill="1" applyBorder="1" applyAlignment="1">
      <alignment horizontal="left" vertical="center"/>
    </xf>
    <xf numFmtId="164" fontId="2" fillId="8" borderId="4" xfId="0" applyNumberFormat="1" applyFont="1" applyFill="1" applyBorder="1" applyAlignment="1">
      <alignment horizontal="right" vertical="center"/>
    </xf>
    <xf numFmtId="0" fontId="2" fillId="8" borderId="4" xfId="0" applyFont="1" applyFill="1" applyBorder="1" applyAlignment="1">
      <alignment horizontal="right" vertical="center"/>
    </xf>
    <xf numFmtId="0" fontId="0" fillId="8" borderId="1" xfId="0" applyFill="1" applyBorder="1"/>
    <xf numFmtId="0" fontId="0" fillId="0" borderId="1" xfId="0" applyBorder="1"/>
    <xf numFmtId="0" fontId="25" fillId="0" borderId="4" xfId="0" applyFont="1" applyBorder="1"/>
    <xf numFmtId="0" fontId="2" fillId="8" borderId="34" xfId="0" applyFont="1" applyFill="1" applyBorder="1" applyAlignment="1" applyProtection="1">
      <alignment horizontal="left" vertical="center" wrapText="1"/>
      <protection locked="0" hidden="1"/>
    </xf>
    <xf numFmtId="0" fontId="2" fillId="8" borderId="4" xfId="0" applyFont="1" applyFill="1" applyBorder="1" applyAlignment="1" applyProtection="1">
      <alignment horizontal="left" vertical="center" wrapText="1"/>
      <protection locked="0" hidden="1"/>
    </xf>
    <xf numFmtId="0" fontId="25" fillId="0" borderId="27" xfId="0" applyFont="1" applyBorder="1"/>
    <xf numFmtId="0" fontId="2" fillId="8" borderId="27" xfId="0" applyFont="1" applyFill="1" applyBorder="1" applyAlignment="1">
      <alignment horizontal="left" vertical="center" wrapText="1"/>
    </xf>
    <xf numFmtId="0" fontId="2" fillId="15" borderId="24" xfId="0" applyFont="1" applyFill="1" applyBorder="1" applyAlignment="1" applyProtection="1">
      <alignment horizontal="left" vertical="center" wrapText="1"/>
      <protection locked="0" hidden="1"/>
    </xf>
    <xf numFmtId="0" fontId="2" fillId="15" borderId="27" xfId="0" applyFont="1" applyFill="1" applyBorder="1" applyAlignment="1" applyProtection="1">
      <alignment horizontal="left" vertical="center" wrapText="1"/>
      <protection locked="0" hidden="1"/>
    </xf>
    <xf numFmtId="0" fontId="0" fillId="15" borderId="1" xfId="0" applyFill="1" applyBorder="1" applyProtection="1">
      <protection locked="0" hidden="1"/>
    </xf>
    <xf numFmtId="0" fontId="2" fillId="18" borderId="1" xfId="0" applyFont="1" applyFill="1" applyBorder="1" applyAlignment="1" applyProtection="1">
      <alignment horizontal="left" vertical="center" wrapText="1"/>
      <protection locked="0" hidden="1"/>
    </xf>
    <xf numFmtId="0" fontId="2" fillId="18" borderId="4" xfId="0" applyFont="1" applyFill="1" applyBorder="1" applyAlignment="1">
      <alignment horizontal="left" vertical="center" wrapText="1"/>
    </xf>
    <xf numFmtId="0" fontId="0" fillId="0" borderId="3" xfId="0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1" xfId="0" applyBorder="1" applyProtection="1">
      <protection locked="0" hidden="1"/>
    </xf>
    <xf numFmtId="0" fontId="26" fillId="0" borderId="2" xfId="0" applyFont="1" applyBorder="1" applyAlignment="1" applyProtection="1">
      <alignment horizontal="center" vertical="center"/>
      <protection hidden="1"/>
    </xf>
    <xf numFmtId="0" fontId="26" fillId="0" borderId="2" xfId="0" applyFont="1" applyBorder="1" applyAlignment="1" applyProtection="1">
      <alignment horizontal="center" vertical="center" wrapText="1"/>
      <protection hidden="1"/>
    </xf>
    <xf numFmtId="0" fontId="26" fillId="0" borderId="23" xfId="0" applyFont="1" applyBorder="1" applyAlignment="1" applyProtection="1">
      <alignment horizontal="center" vertical="center"/>
      <protection hidden="1"/>
    </xf>
    <xf numFmtId="49" fontId="5" fillId="18" borderId="18" xfId="4" applyNumberFormat="1" applyFill="1" applyBorder="1" applyAlignment="1" applyProtection="1">
      <alignment horizontal="center" vertical="center" wrapText="1"/>
      <protection locked="0" hidden="1"/>
    </xf>
    <xf numFmtId="0" fontId="15" fillId="0" borderId="17" xfId="0" applyFont="1" applyBorder="1" applyAlignment="1" applyProtection="1">
      <alignment horizontal="center" vertical="center"/>
      <protection locked="0" hidden="1"/>
    </xf>
    <xf numFmtId="0" fontId="26" fillId="0" borderId="19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locked="0" hidden="1"/>
    </xf>
    <xf numFmtId="0" fontId="15" fillId="0" borderId="21" xfId="0" applyFont="1" applyBorder="1" applyAlignment="1" applyProtection="1">
      <alignment horizontal="center" vertical="center"/>
      <protection locked="0" hidden="1"/>
    </xf>
    <xf numFmtId="0" fontId="0" fillId="6" borderId="1" xfId="0" applyFill="1" applyBorder="1" applyProtection="1">
      <protection hidden="1"/>
    </xf>
    <xf numFmtId="0" fontId="0" fillId="19" borderId="0" xfId="0" applyFill="1" applyAlignment="1" applyProtection="1">
      <alignment horizontal="center"/>
      <protection locked="0" hidden="1"/>
    </xf>
    <xf numFmtId="0" fontId="2" fillId="18" borderId="1" xfId="0" applyFont="1" applyFill="1" applyBorder="1" applyAlignment="1" applyProtection="1">
      <alignment horizontal="left" vertical="center" wrapText="1"/>
      <protection hidden="1"/>
    </xf>
    <xf numFmtId="0" fontId="0" fillId="18" borderId="1" xfId="0" applyFill="1" applyBorder="1" applyProtection="1">
      <protection locked="0" hidden="1"/>
    </xf>
    <xf numFmtId="0" fontId="0" fillId="18" borderId="1" xfId="0" applyFill="1" applyBorder="1" applyProtection="1">
      <protection hidden="1"/>
    </xf>
    <xf numFmtId="43" fontId="0" fillId="18" borderId="1" xfId="6" applyFont="1" applyFill="1" applyBorder="1" applyProtection="1">
      <protection hidden="1"/>
    </xf>
    <xf numFmtId="0" fontId="0" fillId="18" borderId="0" xfId="0" applyFill="1" applyProtection="1">
      <protection hidden="1"/>
    </xf>
    <xf numFmtId="0" fontId="0" fillId="18" borderId="1" xfId="0" applyFill="1" applyBorder="1" applyAlignment="1" applyProtection="1">
      <alignment horizontal="center"/>
      <protection hidden="1"/>
    </xf>
    <xf numFmtId="0" fontId="0" fillId="0" borderId="27" xfId="0" applyBorder="1" applyProtection="1">
      <protection locked="0" hidden="1"/>
    </xf>
    <xf numFmtId="0" fontId="21" fillId="0" borderId="61" xfId="0" applyFont="1" applyBorder="1" applyAlignment="1" applyProtection="1">
      <alignment horizontal="left"/>
      <protection locked="0" hidden="1"/>
    </xf>
    <xf numFmtId="0" fontId="0" fillId="0" borderId="18" xfId="0" applyBorder="1" applyAlignment="1" applyProtection="1">
      <alignment horizontal="center" vertical="center" wrapText="1"/>
      <protection locked="0" hidden="1"/>
    </xf>
    <xf numFmtId="0" fontId="0" fillId="0" borderId="1" xfId="0" applyBorder="1" applyAlignment="1" applyProtection="1">
      <alignment horizontal="center" vertical="center" wrapText="1"/>
      <protection locked="0" hidden="1"/>
    </xf>
    <xf numFmtId="0" fontId="0" fillId="5" borderId="16" xfId="0" applyFill="1" applyBorder="1" applyAlignment="1" applyProtection="1">
      <alignment horizontal="center"/>
      <protection locked="0" hidden="1"/>
    </xf>
    <xf numFmtId="0" fontId="0" fillId="5" borderId="25" xfId="0" applyFill="1" applyBorder="1" applyAlignment="1" applyProtection="1">
      <alignment horizontal="center"/>
      <protection locked="0" hidden="1"/>
    </xf>
    <xf numFmtId="0" fontId="28" fillId="0" borderId="58" xfId="0" applyFont="1" applyBorder="1" applyAlignment="1" applyProtection="1">
      <alignment horizontal="center" vertical="center"/>
      <protection locked="0" hidden="1"/>
    </xf>
    <xf numFmtId="0" fontId="28" fillId="0" borderId="59" xfId="0" applyFont="1" applyBorder="1" applyAlignment="1" applyProtection="1">
      <alignment horizontal="center" vertical="center"/>
      <protection locked="0" hidden="1"/>
    </xf>
    <xf numFmtId="0" fontId="28" fillId="0" borderId="60" xfId="0" applyFont="1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wrapText="1"/>
      <protection locked="0" hidden="1"/>
    </xf>
    <xf numFmtId="0" fontId="28" fillId="0" borderId="18" xfId="0" applyFont="1" applyBorder="1" applyAlignment="1" applyProtection="1">
      <alignment horizontal="center" vertical="center" wrapText="1"/>
      <protection locked="0" hidden="1"/>
    </xf>
    <xf numFmtId="0" fontId="28" fillId="0" borderId="1" xfId="0" applyFont="1" applyBorder="1" applyAlignment="1" applyProtection="1">
      <alignment horizontal="center" vertical="center" wrapText="1"/>
      <protection locked="0" hidden="1"/>
    </xf>
    <xf numFmtId="0" fontId="28" fillId="0" borderId="19" xfId="0" applyFont="1" applyBorder="1" applyAlignment="1" applyProtection="1">
      <alignment horizontal="center" vertical="center" wrapText="1"/>
      <protection locked="0" hidden="1"/>
    </xf>
    <xf numFmtId="0" fontId="0" fillId="0" borderId="80" xfId="0" applyBorder="1" applyAlignment="1" applyProtection="1">
      <alignment horizontal="center" vertical="center" wrapText="1"/>
      <protection locked="0" hidden="1"/>
    </xf>
    <xf numFmtId="0" fontId="0" fillId="0" borderId="31" xfId="0" applyBorder="1" applyAlignment="1" applyProtection="1">
      <alignment horizontal="center" vertical="center" wrapText="1"/>
      <protection locked="0" hidden="1"/>
    </xf>
    <xf numFmtId="0" fontId="0" fillId="0" borderId="3" xfId="0" applyBorder="1" applyAlignment="1" applyProtection="1">
      <alignment horizontal="center" vertical="center" wrapText="1"/>
      <protection locked="0" hidden="1"/>
    </xf>
    <xf numFmtId="0" fontId="28" fillId="0" borderId="80" xfId="0" applyFont="1" applyBorder="1" applyAlignment="1" applyProtection="1">
      <alignment horizontal="center" vertical="center" wrapText="1"/>
      <protection locked="0" hidden="1"/>
    </xf>
    <xf numFmtId="0" fontId="28" fillId="0" borderId="31" xfId="0" applyFont="1" applyBorder="1" applyAlignment="1" applyProtection="1">
      <alignment horizontal="center" vertical="center" wrapText="1"/>
      <protection locked="0" hidden="1"/>
    </xf>
    <xf numFmtId="0" fontId="28" fillId="0" borderId="81" xfId="0" applyFont="1" applyBorder="1" applyAlignment="1" applyProtection="1">
      <alignment horizontal="center" vertical="center" wrapText="1"/>
      <protection locked="0" hidden="1"/>
    </xf>
    <xf numFmtId="0" fontId="20" fillId="0" borderId="84" xfId="0" applyFont="1" applyBorder="1" applyAlignment="1" applyProtection="1">
      <alignment horizontal="center" vertical="center"/>
      <protection locked="0" hidden="1"/>
    </xf>
    <xf numFmtId="0" fontId="20" fillId="0" borderId="85" xfId="0" applyFont="1" applyBorder="1" applyAlignment="1" applyProtection="1">
      <alignment horizontal="center" vertical="center"/>
      <protection locked="0" hidden="1"/>
    </xf>
    <xf numFmtId="0" fontId="20" fillId="0" borderId="86" xfId="0" applyFont="1" applyBorder="1" applyAlignment="1" applyProtection="1">
      <alignment horizontal="center" vertical="center"/>
      <protection locked="0" hidden="1"/>
    </xf>
    <xf numFmtId="0" fontId="20" fillId="0" borderId="87" xfId="0" applyFont="1" applyBorder="1" applyAlignment="1" applyProtection="1">
      <alignment horizontal="center" vertical="center"/>
      <protection locked="0" hidden="1"/>
    </xf>
    <xf numFmtId="0" fontId="20" fillId="0" borderId="88" xfId="0" applyFont="1" applyBorder="1" applyAlignment="1" applyProtection="1">
      <alignment horizontal="center" vertical="center"/>
      <protection locked="0" hidden="1"/>
    </xf>
    <xf numFmtId="0" fontId="20" fillId="0" borderId="89" xfId="0" applyFont="1" applyBorder="1" applyAlignment="1" applyProtection="1">
      <alignment horizontal="center" vertical="center"/>
      <protection locked="0" hidden="1"/>
    </xf>
    <xf numFmtId="0" fontId="20" fillId="0" borderId="84" xfId="0" applyFont="1" applyBorder="1" applyAlignment="1" applyProtection="1">
      <alignment horizontal="center" vertical="top"/>
      <protection locked="0" hidden="1"/>
    </xf>
    <xf numFmtId="0" fontId="20" fillId="0" borderId="85" xfId="0" applyFont="1" applyBorder="1" applyAlignment="1" applyProtection="1">
      <alignment horizontal="center" vertical="top"/>
      <protection locked="0" hidden="1"/>
    </xf>
    <xf numFmtId="0" fontId="20" fillId="0" borderId="86" xfId="0" applyFont="1" applyBorder="1" applyAlignment="1" applyProtection="1">
      <alignment horizontal="center" vertical="top"/>
      <protection locked="0" hidden="1"/>
    </xf>
    <xf numFmtId="0" fontId="20" fillId="0" borderId="87" xfId="0" applyFont="1" applyBorder="1" applyAlignment="1" applyProtection="1">
      <alignment horizontal="center" vertical="top"/>
      <protection locked="0" hidden="1"/>
    </xf>
    <xf numFmtId="0" fontId="20" fillId="0" borderId="88" xfId="0" applyFont="1" applyBorder="1" applyAlignment="1" applyProtection="1">
      <alignment horizontal="center" vertical="top"/>
      <protection locked="0" hidden="1"/>
    </xf>
    <xf numFmtId="0" fontId="20" fillId="0" borderId="89" xfId="0" applyFont="1" applyBorder="1" applyAlignment="1" applyProtection="1">
      <alignment horizontal="center" vertical="top"/>
      <protection locked="0" hidden="1"/>
    </xf>
    <xf numFmtId="0" fontId="0" fillId="0" borderId="14" xfId="0" applyBorder="1" applyAlignment="1" applyProtection="1">
      <alignment horizontal="center"/>
      <protection locked="0" hidden="1"/>
    </xf>
    <xf numFmtId="0" fontId="0" fillId="0" borderId="15" xfId="0" applyBorder="1" applyAlignment="1" applyProtection="1">
      <alignment horizontal="center"/>
      <protection locked="0" hidden="1"/>
    </xf>
    <xf numFmtId="0" fontId="15" fillId="18" borderId="19" xfId="4" applyFont="1" applyFill="1" applyBorder="1" applyAlignment="1" applyProtection="1">
      <alignment horizontal="center" vertical="center"/>
      <protection locked="0" hidden="1"/>
    </xf>
    <xf numFmtId="0" fontId="5" fillId="17" borderId="64" xfId="2" applyFill="1" applyBorder="1" applyAlignment="1" applyProtection="1">
      <alignment horizontal="center" vertical="center"/>
      <protection locked="0" hidden="1"/>
    </xf>
    <xf numFmtId="0" fontId="5" fillId="17" borderId="65" xfId="2" applyFill="1" applyBorder="1" applyAlignment="1" applyProtection="1">
      <alignment horizontal="center" vertical="center"/>
      <protection locked="0" hidden="1"/>
    </xf>
    <xf numFmtId="0" fontId="5" fillId="17" borderId="66" xfId="2" applyFill="1" applyBorder="1" applyAlignment="1" applyProtection="1">
      <alignment horizontal="center" vertical="center"/>
      <protection locked="0" hidden="1"/>
    </xf>
    <xf numFmtId="0" fontId="26" fillId="0" borderId="4" xfId="2" applyFont="1" applyFill="1" applyBorder="1" applyAlignment="1" applyProtection="1">
      <alignment horizontal="center" vertical="center"/>
      <protection locked="0" hidden="1"/>
    </xf>
    <xf numFmtId="0" fontId="26" fillId="0" borderId="27" xfId="2" applyFont="1" applyFill="1" applyBorder="1" applyAlignment="1" applyProtection="1">
      <alignment horizontal="center" vertical="center"/>
      <protection locked="0" hidden="1"/>
    </xf>
    <xf numFmtId="0" fontId="28" fillId="0" borderId="20" xfId="0" applyFont="1" applyBorder="1" applyAlignment="1" applyProtection="1">
      <alignment horizontal="center" vertical="center" wrapText="1"/>
      <protection locked="0" hidden="1"/>
    </xf>
    <xf numFmtId="0" fontId="28" fillId="0" borderId="26" xfId="0" applyFont="1" applyBorder="1" applyAlignment="1" applyProtection="1">
      <alignment horizontal="center" vertical="center" wrapText="1"/>
      <protection locked="0" hidden="1"/>
    </xf>
    <xf numFmtId="0" fontId="5" fillId="0" borderId="72" xfId="3" applyFill="1" applyBorder="1" applyAlignment="1" applyProtection="1">
      <alignment horizontal="center" vertical="center"/>
      <protection locked="0" hidden="1"/>
    </xf>
    <xf numFmtId="0" fontId="5" fillId="0" borderId="39" xfId="3" applyFill="1" applyBorder="1" applyAlignment="1" applyProtection="1">
      <alignment horizontal="center" vertical="center"/>
      <protection locked="0" hidden="1"/>
    </xf>
    <xf numFmtId="0" fontId="5" fillId="0" borderId="40" xfId="3" applyFill="1" applyBorder="1" applyAlignment="1" applyProtection="1">
      <alignment horizontal="center" vertical="center"/>
      <protection locked="0" hidden="1"/>
    </xf>
    <xf numFmtId="0" fontId="5" fillId="0" borderId="73" xfId="3" applyFill="1" applyBorder="1" applyAlignment="1" applyProtection="1">
      <alignment horizontal="center" vertical="center"/>
      <protection locked="0" hidden="1"/>
    </xf>
    <xf numFmtId="0" fontId="28" fillId="0" borderId="18" xfId="0" applyFont="1" applyBorder="1" applyAlignment="1" applyProtection="1">
      <alignment horizontal="center" vertical="center"/>
      <protection locked="0" hidden="1"/>
    </xf>
    <xf numFmtId="0" fontId="28" fillId="0" borderId="1" xfId="0" applyFont="1" applyBorder="1" applyAlignment="1" applyProtection="1">
      <alignment horizontal="center" vertical="center"/>
      <protection locked="0" hidden="1"/>
    </xf>
    <xf numFmtId="0" fontId="0" fillId="0" borderId="23" xfId="2" applyFont="1" applyFill="1" applyBorder="1" applyAlignment="1" applyProtection="1">
      <alignment horizontal="left" vertical="center"/>
      <protection locked="0" hidden="1"/>
    </xf>
    <xf numFmtId="0" fontId="5" fillId="0" borderId="32" xfId="2" applyFill="1" applyBorder="1" applyAlignment="1" applyProtection="1">
      <alignment horizontal="left" vertical="center"/>
      <protection locked="0" hidden="1"/>
    </xf>
    <xf numFmtId="0" fontId="5" fillId="0" borderId="30" xfId="2" applyFill="1" applyBorder="1" applyAlignment="1" applyProtection="1">
      <alignment horizontal="left" vertical="center"/>
      <protection locked="0" hidden="1"/>
    </xf>
    <xf numFmtId="0" fontId="15" fillId="0" borderId="24" xfId="2" applyFont="1" applyFill="1" applyBorder="1" applyAlignment="1" applyProtection="1">
      <alignment horizontal="center" vertical="center" wrapText="1"/>
      <protection locked="0"/>
    </xf>
    <xf numFmtId="0" fontId="15" fillId="0" borderId="36" xfId="2" applyFont="1" applyFill="1" applyBorder="1" applyAlignment="1" applyProtection="1">
      <alignment horizontal="center" vertical="center" wrapText="1"/>
      <protection locked="0"/>
    </xf>
    <xf numFmtId="0" fontId="15" fillId="0" borderId="68" xfId="2" applyFont="1" applyFill="1" applyBorder="1" applyAlignment="1" applyProtection="1">
      <alignment horizontal="center" vertical="center" wrapText="1"/>
      <protection locked="0"/>
    </xf>
    <xf numFmtId="0" fontId="15" fillId="0" borderId="2" xfId="2" applyFont="1" applyFill="1" applyBorder="1" applyAlignment="1" applyProtection="1">
      <alignment horizontal="center" vertical="center" wrapText="1"/>
      <protection locked="0" hidden="1"/>
    </xf>
    <xf numFmtId="0" fontId="15" fillId="0" borderId="31" xfId="2" applyFont="1" applyFill="1" applyBorder="1" applyAlignment="1" applyProtection="1">
      <alignment horizontal="center" vertical="center" wrapText="1"/>
      <protection locked="0" hidden="1"/>
    </xf>
    <xf numFmtId="0" fontId="15" fillId="0" borderId="70" xfId="2" applyFont="1" applyFill="1" applyBorder="1" applyAlignment="1" applyProtection="1">
      <alignment horizontal="center" vertical="center" wrapText="1"/>
      <protection locked="0" hidden="1"/>
    </xf>
    <xf numFmtId="1" fontId="15" fillId="0" borderId="31" xfId="2" applyNumberFormat="1" applyFont="1" applyFill="1" applyBorder="1" applyAlignment="1" applyProtection="1">
      <alignment horizontal="center" vertical="center" wrapText="1"/>
      <protection locked="0" hidden="1"/>
    </xf>
    <xf numFmtId="1" fontId="15" fillId="0" borderId="70" xfId="2" applyNumberFormat="1" applyFont="1" applyFill="1" applyBorder="1" applyAlignment="1" applyProtection="1">
      <alignment horizontal="center" vertical="center" wrapText="1"/>
      <protection locked="0" hidden="1"/>
    </xf>
    <xf numFmtId="1" fontId="15" fillId="0" borderId="25" xfId="3" applyNumberFormat="1" applyFont="1" applyFill="1" applyBorder="1" applyAlignment="1" applyProtection="1">
      <alignment horizontal="center" vertical="center"/>
      <protection locked="0" hidden="1"/>
    </xf>
    <xf numFmtId="1" fontId="15" fillId="0" borderId="75" xfId="3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15" fillId="5" borderId="1" xfId="0" applyFont="1" applyFill="1" applyBorder="1" applyAlignment="1" applyProtection="1">
      <alignment horizontal="center" vertical="center" wrapText="1"/>
      <protection locked="0" hidden="1"/>
    </xf>
    <xf numFmtId="0" fontId="15" fillId="5" borderId="19" xfId="0" applyFont="1" applyFill="1" applyBorder="1" applyAlignment="1" applyProtection="1">
      <alignment horizontal="center" vertical="center" wrapText="1"/>
      <protection locked="0" hidden="1"/>
    </xf>
    <xf numFmtId="0" fontId="15" fillId="5" borderId="18" xfId="0" applyFont="1" applyFill="1" applyBorder="1" applyAlignment="1" applyProtection="1">
      <alignment horizontal="center" vertical="center"/>
      <protection locked="0" hidden="1"/>
    </xf>
    <xf numFmtId="0" fontId="15" fillId="5" borderId="1" xfId="0" applyFont="1" applyFill="1" applyBorder="1" applyAlignment="1" applyProtection="1">
      <alignment horizontal="center" vertical="center"/>
      <protection locked="0" hidden="1"/>
    </xf>
    <xf numFmtId="0" fontId="0" fillId="0" borderId="18" xfId="0" applyBorder="1" applyAlignment="1" applyProtection="1">
      <alignment horizontal="center"/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0" fontId="0" fillId="0" borderId="19" xfId="0" applyBorder="1" applyAlignment="1" applyProtection="1">
      <alignment horizontal="center"/>
      <protection locked="0" hidden="1"/>
    </xf>
    <xf numFmtId="0" fontId="0" fillId="0" borderId="28" xfId="0" applyBorder="1" applyAlignment="1" applyProtection="1">
      <alignment horizontal="center"/>
      <protection locked="0" hidden="1"/>
    </xf>
    <xf numFmtId="0" fontId="0" fillId="0" borderId="4" xfId="0" applyBorder="1" applyAlignment="1" applyProtection="1">
      <alignment horizontal="center"/>
      <protection locked="0" hidden="1"/>
    </xf>
    <xf numFmtId="0" fontId="0" fillId="0" borderId="29" xfId="0" applyBorder="1" applyAlignment="1" applyProtection="1">
      <alignment horizontal="center"/>
      <protection locked="0" hidden="1"/>
    </xf>
    <xf numFmtId="0" fontId="26" fillId="0" borderId="18" xfId="0" applyFont="1" applyBorder="1" applyAlignment="1" applyProtection="1">
      <alignment horizontal="center" vertical="center" wrapText="1"/>
      <protection locked="0" hidden="1"/>
    </xf>
    <xf numFmtId="0" fontId="26" fillId="0" borderId="1" xfId="0" applyFont="1" applyBorder="1" applyAlignment="1" applyProtection="1">
      <alignment horizontal="center" vertical="center" wrapText="1"/>
      <protection locked="0" hidden="1"/>
    </xf>
    <xf numFmtId="0" fontId="27" fillId="0" borderId="18" xfId="0" applyFont="1" applyBorder="1" applyAlignment="1" applyProtection="1">
      <alignment horizontal="center" vertical="center" wrapText="1"/>
      <protection locked="0" hidden="1"/>
    </xf>
    <xf numFmtId="0" fontId="27" fillId="0" borderId="1" xfId="0" applyFont="1" applyBorder="1" applyAlignment="1" applyProtection="1">
      <alignment horizontal="center" vertical="center" wrapText="1"/>
      <protection locked="0" hidden="1"/>
    </xf>
    <xf numFmtId="0" fontId="5" fillId="18" borderId="34" xfId="4" applyFill="1" applyBorder="1" applyAlignment="1" applyProtection="1">
      <alignment horizontal="center" vertical="center" wrapText="1"/>
      <protection locked="0" hidden="1"/>
    </xf>
    <xf numFmtId="0" fontId="5" fillId="18" borderId="35" xfId="4" applyFill="1" applyBorder="1" applyAlignment="1" applyProtection="1">
      <alignment horizontal="center" vertical="center" wrapText="1"/>
      <protection locked="0" hidden="1"/>
    </xf>
    <xf numFmtId="0" fontId="5" fillId="18" borderId="24" xfId="4" applyFill="1" applyBorder="1" applyAlignment="1" applyProtection="1">
      <alignment horizontal="center" vertical="center" wrapText="1"/>
      <protection locked="0" hidden="1"/>
    </xf>
    <xf numFmtId="0" fontId="5" fillId="18" borderId="33" xfId="4" applyFill="1" applyBorder="1" applyAlignment="1" applyProtection="1">
      <alignment horizontal="center" vertical="center" wrapText="1"/>
      <protection locked="0" hidden="1"/>
    </xf>
    <xf numFmtId="0" fontId="6" fillId="0" borderId="16" xfId="0" applyFont="1" applyBorder="1" applyAlignment="1" applyProtection="1">
      <alignment horizontal="center" vertical="center"/>
      <protection locked="0" hidden="1"/>
    </xf>
    <xf numFmtId="0" fontId="6" fillId="0" borderId="25" xfId="0" applyFont="1" applyBorder="1" applyAlignment="1" applyProtection="1">
      <alignment horizontal="center" vertical="center"/>
      <protection locked="0" hidden="1"/>
    </xf>
    <xf numFmtId="0" fontId="6" fillId="0" borderId="17" xfId="0" applyFont="1" applyBorder="1" applyAlignment="1" applyProtection="1">
      <alignment horizontal="center" vertical="center"/>
      <protection locked="0" hidden="1"/>
    </xf>
    <xf numFmtId="0" fontId="15" fillId="18" borderId="57" xfId="4" applyFont="1" applyFill="1" applyBorder="1" applyAlignment="1" applyProtection="1">
      <alignment horizontal="center" vertical="center"/>
      <protection locked="0" hidden="1"/>
    </xf>
    <xf numFmtId="49" fontId="5" fillId="18" borderId="18" xfId="4" applyNumberFormat="1" applyFill="1" applyBorder="1" applyAlignment="1" applyProtection="1">
      <alignment horizontal="center" vertical="center" wrapText="1"/>
      <protection locked="0" hidden="1"/>
    </xf>
    <xf numFmtId="49" fontId="5" fillId="18" borderId="56" xfId="4" applyNumberFormat="1" applyFill="1" applyBorder="1" applyAlignment="1" applyProtection="1">
      <alignment horizontal="center" vertical="center" wrapText="1"/>
      <protection locked="0" hidden="1"/>
    </xf>
    <xf numFmtId="49" fontId="5" fillId="18" borderId="28" xfId="4" applyNumberFormat="1" applyFill="1" applyBorder="1" applyAlignment="1" applyProtection="1">
      <alignment horizontal="center" vertical="center" wrapText="1"/>
      <protection locked="0" hidden="1"/>
    </xf>
    <xf numFmtId="49" fontId="5" fillId="18" borderId="22" xfId="4" applyNumberFormat="1" applyFill="1" applyBorder="1" applyAlignment="1" applyProtection="1">
      <alignment horizontal="center" vertical="center" wrapText="1"/>
      <protection locked="0" hidden="1"/>
    </xf>
    <xf numFmtId="0" fontId="15" fillId="18" borderId="2" xfId="4" applyFont="1" applyFill="1" applyBorder="1" applyAlignment="1" applyProtection="1">
      <alignment horizontal="center" vertical="center" wrapText="1"/>
      <protection locked="0" hidden="1"/>
    </xf>
    <xf numFmtId="0" fontId="15" fillId="18" borderId="31" xfId="4" applyFont="1" applyFill="1" applyBorder="1" applyAlignment="1" applyProtection="1">
      <alignment horizontal="center" vertical="center" wrapText="1"/>
      <protection locked="0" hidden="1"/>
    </xf>
    <xf numFmtId="0" fontId="15" fillId="18" borderId="3" xfId="4" applyFont="1" applyFill="1" applyBorder="1" applyAlignment="1" applyProtection="1">
      <alignment horizontal="center" vertical="center" wrapText="1"/>
      <protection locked="0" hidden="1"/>
    </xf>
    <xf numFmtId="0" fontId="5" fillId="18" borderId="2" xfId="4" applyFill="1" applyBorder="1" applyAlignment="1" applyProtection="1">
      <alignment horizontal="center" vertical="center"/>
      <protection locked="0" hidden="1"/>
    </xf>
    <xf numFmtId="0" fontId="5" fillId="18" borderId="31" xfId="4" applyFill="1" applyBorder="1" applyAlignment="1" applyProtection="1">
      <alignment horizontal="center" vertical="center"/>
      <protection locked="0" hidden="1"/>
    </xf>
    <xf numFmtId="0" fontId="5" fillId="18" borderId="3" xfId="4" applyFill="1" applyBorder="1" applyAlignment="1" applyProtection="1">
      <alignment horizontal="center" vertical="center"/>
      <protection locked="0" hidden="1"/>
    </xf>
    <xf numFmtId="0" fontId="16" fillId="0" borderId="44" xfId="0" applyFont="1" applyBorder="1" applyAlignment="1" applyProtection="1">
      <alignment horizontal="center" vertical="center"/>
      <protection locked="0" hidden="1"/>
    </xf>
    <xf numFmtId="0" fontId="16" fillId="0" borderId="6" xfId="0" applyFont="1" applyBorder="1" applyAlignment="1" applyProtection="1">
      <alignment horizontal="center" vertical="center"/>
      <protection locked="0" hidden="1"/>
    </xf>
    <xf numFmtId="0" fontId="16" fillId="0" borderId="7" xfId="0" applyFont="1" applyBorder="1" applyAlignment="1" applyProtection="1">
      <alignment horizontal="center" vertical="center"/>
      <protection locked="0" hidden="1"/>
    </xf>
    <xf numFmtId="0" fontId="0" fillId="0" borderId="2" xfId="2" applyFont="1" applyFill="1" applyBorder="1" applyAlignment="1" applyProtection="1">
      <alignment horizontal="left" vertical="center"/>
      <protection locked="0" hidden="1"/>
    </xf>
    <xf numFmtId="0" fontId="5" fillId="0" borderId="3" xfId="2" applyFill="1" applyBorder="1" applyAlignment="1" applyProtection="1">
      <alignment horizontal="left" vertical="center"/>
      <protection locked="0" hidden="1"/>
    </xf>
    <xf numFmtId="0" fontId="5" fillId="0" borderId="2" xfId="2" applyFill="1" applyBorder="1" applyAlignment="1" applyProtection="1">
      <alignment horizontal="left" vertical="center"/>
      <protection locked="0" hidden="1"/>
    </xf>
    <xf numFmtId="49" fontId="16" fillId="0" borderId="8" xfId="0" applyNumberFormat="1" applyFont="1" applyBorder="1" applyAlignment="1" applyProtection="1">
      <alignment horizontal="center" vertical="top" textRotation="90"/>
      <protection locked="0" hidden="1"/>
    </xf>
    <xf numFmtId="49" fontId="16" fillId="0" borderId="10" xfId="0" applyNumberFormat="1" applyFont="1" applyBorder="1" applyAlignment="1" applyProtection="1">
      <alignment horizontal="center" vertical="top" textRotation="90"/>
      <protection locked="0" hidden="1"/>
    </xf>
    <xf numFmtId="0" fontId="0" fillId="0" borderId="16" xfId="0" applyBorder="1" applyAlignment="1" applyProtection="1">
      <alignment horizontal="center" vertical="center" wrapText="1"/>
      <protection locked="0" hidden="1"/>
    </xf>
    <xf numFmtId="0" fontId="0" fillId="0" borderId="25" xfId="0" applyBorder="1" applyAlignment="1" applyProtection="1">
      <alignment horizontal="center" vertical="center" wrapText="1"/>
      <protection locked="0" hidden="1"/>
    </xf>
    <xf numFmtId="0" fontId="0" fillId="0" borderId="20" xfId="0" applyBorder="1" applyAlignment="1" applyProtection="1">
      <alignment horizontal="center" vertical="center"/>
      <protection locked="0" hidden="1"/>
    </xf>
    <xf numFmtId="0" fontId="0" fillId="0" borderId="26" xfId="0" applyBorder="1" applyAlignment="1" applyProtection="1">
      <alignment horizontal="center" vertical="center"/>
      <protection locked="0" hidden="1"/>
    </xf>
    <xf numFmtId="1" fontId="15" fillId="0" borderId="2" xfId="2" applyNumberFormat="1" applyFont="1" applyFill="1" applyBorder="1" applyAlignment="1" applyProtection="1">
      <alignment horizontal="center" vertical="center" wrapText="1"/>
      <protection locked="0" hidden="1"/>
    </xf>
    <xf numFmtId="0" fontId="5" fillId="0" borderId="24" xfId="2" applyFill="1" applyBorder="1" applyAlignment="1" applyProtection="1">
      <alignment horizontal="left" vertical="center"/>
      <protection locked="0" hidden="1"/>
    </xf>
    <xf numFmtId="0" fontId="5" fillId="0" borderId="33" xfId="2" applyFill="1" applyBorder="1" applyAlignment="1" applyProtection="1">
      <alignment horizontal="left" vertical="center"/>
      <protection locked="0" hidden="1"/>
    </xf>
    <xf numFmtId="0" fontId="0" fillId="0" borderId="18" xfId="0" applyBorder="1" applyAlignment="1" applyProtection="1">
      <alignment horizontal="center" vertical="center"/>
      <protection locked="0" hidden="1"/>
    </xf>
    <xf numFmtId="0" fontId="0" fillId="0" borderId="1" xfId="0" applyBorder="1" applyAlignment="1" applyProtection="1">
      <alignment horizontal="center" vertical="center"/>
      <protection locked="0" hidden="1"/>
    </xf>
    <xf numFmtId="49" fontId="16" fillId="0" borderId="13" xfId="0" applyNumberFormat="1" applyFont="1" applyBorder="1" applyAlignment="1" applyProtection="1">
      <alignment horizontal="center" vertical="top" textRotation="90"/>
      <protection locked="0" hidden="1"/>
    </xf>
    <xf numFmtId="49" fontId="16" fillId="0" borderId="14" xfId="0" applyNumberFormat="1" applyFont="1" applyBorder="1" applyAlignment="1" applyProtection="1">
      <alignment horizontal="center" vertical="top" textRotation="90"/>
      <protection locked="0" hidden="1"/>
    </xf>
    <xf numFmtId="49" fontId="16" fillId="0" borderId="15" xfId="0" applyNumberFormat="1" applyFont="1" applyBorder="1" applyAlignment="1" applyProtection="1">
      <alignment horizontal="center" vertical="top" textRotation="90"/>
      <protection locked="0" hidden="1"/>
    </xf>
    <xf numFmtId="0" fontId="17" fillId="17" borderId="13" xfId="0" applyFont="1" applyFill="1" applyBorder="1" applyAlignment="1" applyProtection="1">
      <alignment horizontal="center" vertical="center" textRotation="90"/>
      <protection locked="0" hidden="1"/>
    </xf>
    <xf numFmtId="0" fontId="17" fillId="17" borderId="14" xfId="0" applyFont="1" applyFill="1" applyBorder="1" applyAlignment="1" applyProtection="1">
      <alignment horizontal="center" vertical="center" textRotation="90"/>
      <protection locked="0" hidden="1"/>
    </xf>
    <xf numFmtId="0" fontId="17" fillId="17" borderId="15" xfId="0" applyFont="1" applyFill="1" applyBorder="1" applyAlignment="1" applyProtection="1">
      <alignment horizontal="center" vertical="center" textRotation="90"/>
      <protection locked="0" hidden="1"/>
    </xf>
    <xf numFmtId="49" fontId="16" fillId="0" borderId="0" xfId="0" applyNumberFormat="1" applyFont="1" applyAlignment="1" applyProtection="1">
      <alignment horizontal="center" vertical="center" textRotation="90"/>
      <protection locked="0" hidden="1"/>
    </xf>
    <xf numFmtId="49" fontId="0" fillId="0" borderId="11" xfId="0" applyNumberFormat="1" applyBorder="1" applyAlignment="1" applyProtection="1">
      <alignment horizontal="center"/>
      <protection locked="0" hidden="1"/>
    </xf>
    <xf numFmtId="0" fontId="5" fillId="0" borderId="4" xfId="2" applyFill="1" applyBorder="1" applyAlignment="1" applyProtection="1">
      <alignment horizontal="center" vertical="center" wrapText="1"/>
      <protection locked="0" hidden="1"/>
    </xf>
    <xf numFmtId="0" fontId="5" fillId="0" borderId="27" xfId="2" applyFill="1" applyBorder="1" applyAlignment="1" applyProtection="1">
      <alignment horizontal="center" vertical="center" wrapText="1"/>
      <protection locked="0" hidden="1"/>
    </xf>
    <xf numFmtId="0" fontId="5" fillId="0" borderId="2" xfId="2" applyFill="1" applyBorder="1" applyAlignment="1" applyProtection="1">
      <alignment horizontal="center" vertical="center"/>
      <protection locked="0" hidden="1"/>
    </xf>
    <xf numFmtId="0" fontId="5" fillId="0" borderId="70" xfId="2" applyFill="1" applyBorder="1" applyAlignment="1" applyProtection="1">
      <alignment horizontal="center" vertical="center"/>
      <protection locked="0" hidden="1"/>
    </xf>
    <xf numFmtId="0" fontId="20" fillId="0" borderId="0" xfId="0" applyFont="1" applyAlignment="1" applyProtection="1">
      <alignment horizontal="center"/>
      <protection locked="0" hidden="1"/>
    </xf>
    <xf numFmtId="0" fontId="15" fillId="0" borderId="1" xfId="3" applyFont="1" applyFill="1" applyBorder="1" applyAlignment="1" applyProtection="1">
      <alignment horizontal="center" vertical="center"/>
      <protection locked="0" hidden="1"/>
    </xf>
    <xf numFmtId="0" fontId="15" fillId="0" borderId="76" xfId="3" applyFont="1" applyFill="1" applyBorder="1" applyAlignment="1" applyProtection="1">
      <alignment horizontal="center" vertical="center"/>
      <protection locked="0" hidden="1"/>
    </xf>
    <xf numFmtId="0" fontId="15" fillId="0" borderId="78" xfId="3" applyFont="1" applyFill="1" applyBorder="1" applyAlignment="1" applyProtection="1">
      <alignment horizontal="center" vertical="center"/>
      <protection locked="0" hidden="1"/>
    </xf>
    <xf numFmtId="0" fontId="15" fillId="0" borderId="79" xfId="3" applyFont="1" applyFill="1" applyBorder="1" applyAlignment="1" applyProtection="1">
      <alignment horizontal="center" vertical="center"/>
      <protection locked="0" hidden="1"/>
    </xf>
    <xf numFmtId="0" fontId="0" fillId="0" borderId="25" xfId="3" applyFont="1" applyFill="1" applyBorder="1" applyAlignment="1" applyProtection="1">
      <alignment horizontal="center" vertical="center"/>
      <protection locked="0" hidden="1"/>
    </xf>
    <xf numFmtId="0" fontId="5" fillId="0" borderId="25" xfId="3" applyFill="1" applyBorder="1" applyAlignment="1" applyProtection="1">
      <alignment horizontal="center" vertical="center"/>
      <protection locked="0" hidden="1"/>
    </xf>
    <xf numFmtId="0" fontId="5" fillId="0" borderId="1" xfId="3" applyFill="1" applyBorder="1" applyAlignment="1" applyProtection="1">
      <alignment horizontal="center" vertical="center"/>
      <protection locked="0" hidden="1"/>
    </xf>
    <xf numFmtId="0" fontId="5" fillId="0" borderId="78" xfId="3" applyFill="1" applyBorder="1" applyAlignment="1" applyProtection="1">
      <alignment horizontal="center" vertical="center"/>
      <protection locked="0" hidden="1"/>
    </xf>
    <xf numFmtId="0" fontId="0" fillId="0" borderId="8" xfId="0" applyBorder="1" applyAlignment="1" applyProtection="1">
      <alignment horizontal="center"/>
      <protection locked="0" hidden="1"/>
    </xf>
    <xf numFmtId="0" fontId="5" fillId="18" borderId="51" xfId="4" applyFill="1" applyBorder="1" applyAlignment="1" applyProtection="1">
      <alignment horizontal="center" vertical="center" wrapText="1"/>
      <protection locked="0" hidden="1"/>
    </xf>
    <xf numFmtId="0" fontId="5" fillId="18" borderId="52" xfId="4" applyFill="1" applyBorder="1" applyAlignment="1" applyProtection="1">
      <alignment horizontal="center" vertical="center" wrapText="1"/>
      <protection locked="0" hidden="1"/>
    </xf>
    <xf numFmtId="0" fontId="5" fillId="18" borderId="1" xfId="4" applyFill="1" applyBorder="1" applyAlignment="1" applyProtection="1">
      <alignment horizontal="center" vertical="center"/>
      <protection locked="0" hidden="1"/>
    </xf>
    <xf numFmtId="0" fontId="15" fillId="18" borderId="1" xfId="4" applyFont="1" applyFill="1" applyBorder="1" applyAlignment="1" applyProtection="1">
      <alignment horizontal="center" vertical="center" wrapText="1"/>
      <protection locked="0" hidden="1"/>
    </xf>
    <xf numFmtId="0" fontId="22" fillId="0" borderId="0" xfId="0" applyFont="1" applyAlignment="1" applyProtection="1">
      <alignment horizontal="right"/>
      <protection locked="0" hidden="1"/>
    </xf>
    <xf numFmtId="0" fontId="0" fillId="0" borderId="0" xfId="0" applyAlignment="1" applyProtection="1">
      <alignment horizontal="right"/>
      <protection locked="0" hidden="1"/>
    </xf>
    <xf numFmtId="0" fontId="5" fillId="18" borderId="2" xfId="4" applyFill="1" applyBorder="1" applyAlignment="1" applyProtection="1">
      <alignment horizontal="center" vertical="center" wrapText="1"/>
      <protection locked="0" hidden="1"/>
    </xf>
    <xf numFmtId="0" fontId="5" fillId="18" borderId="3" xfId="4" applyFill="1" applyBorder="1" applyAlignment="1" applyProtection="1">
      <alignment horizontal="center" vertical="center" wrapText="1"/>
      <protection locked="0" hidden="1"/>
    </xf>
    <xf numFmtId="0" fontId="15" fillId="18" borderId="53" xfId="4" applyFont="1" applyFill="1" applyBorder="1" applyAlignment="1" applyProtection="1">
      <alignment horizontal="center" vertical="center" wrapText="1"/>
      <protection locked="0" hidden="1"/>
    </xf>
    <xf numFmtId="0" fontId="15" fillId="18" borderId="54" xfId="4" applyFont="1" applyFill="1" applyBorder="1" applyAlignment="1" applyProtection="1">
      <alignment horizontal="center" vertical="center" wrapText="1"/>
      <protection locked="0" hidden="1"/>
    </xf>
    <xf numFmtId="0" fontId="15" fillId="18" borderId="55" xfId="4" applyFont="1" applyFill="1" applyBorder="1" applyAlignment="1" applyProtection="1">
      <alignment horizontal="center" vertical="center" wrapText="1"/>
      <protection locked="0" hidden="1"/>
    </xf>
    <xf numFmtId="0" fontId="17" fillId="17" borderId="5" xfId="4" applyFont="1" applyFill="1" applyBorder="1" applyAlignment="1" applyProtection="1">
      <alignment horizontal="center" vertical="center"/>
      <protection locked="0" hidden="1"/>
    </xf>
    <xf numFmtId="0" fontId="5" fillId="17" borderId="6" xfId="4" applyFill="1" applyBorder="1" applyAlignment="1" applyProtection="1">
      <alignment horizontal="center" vertical="center"/>
      <protection locked="0" hidden="1"/>
    </xf>
    <xf numFmtId="0" fontId="5" fillId="17" borderId="7" xfId="4" applyFill="1" applyBorder="1" applyAlignment="1" applyProtection="1">
      <alignment horizontal="center" vertical="center"/>
      <protection locked="0" hidden="1"/>
    </xf>
    <xf numFmtId="49" fontId="16" fillId="0" borderId="5" xfId="0" applyNumberFormat="1" applyFont="1" applyBorder="1" applyAlignment="1" applyProtection="1">
      <alignment horizontal="center" vertical="top" textRotation="90"/>
      <protection locked="0" hidden="1"/>
    </xf>
    <xf numFmtId="1" fontId="0" fillId="0" borderId="5" xfId="0" applyNumberFormat="1" applyBorder="1" applyAlignment="1" applyProtection="1">
      <alignment horizontal="center"/>
      <protection locked="0" hidden="1"/>
    </xf>
    <xf numFmtId="0" fontId="0" fillId="0" borderId="6" xfId="0" applyBorder="1" applyAlignment="1" applyProtection="1">
      <alignment horizontal="center"/>
      <protection locked="0" hidden="1"/>
    </xf>
    <xf numFmtId="0" fontId="0" fillId="0" borderId="41" xfId="0" applyBorder="1" applyAlignment="1" applyProtection="1">
      <alignment horizontal="center"/>
      <protection locked="0" hidden="1"/>
    </xf>
    <xf numFmtId="0" fontId="0" fillId="0" borderId="42" xfId="0" applyBorder="1" applyAlignment="1" applyProtection="1">
      <alignment horizontal="center"/>
      <protection locked="0" hidden="1"/>
    </xf>
    <xf numFmtId="0" fontId="0" fillId="0" borderId="43" xfId="0" applyBorder="1" applyAlignment="1" applyProtection="1">
      <alignment horizontal="center"/>
      <protection locked="0" hidden="1"/>
    </xf>
    <xf numFmtId="0" fontId="13" fillId="14" borderId="2" xfId="0" applyFont="1" applyFill="1" applyBorder="1" applyAlignment="1" applyProtection="1">
      <alignment horizontal="left"/>
      <protection hidden="1"/>
    </xf>
    <xf numFmtId="0" fontId="13" fillId="14" borderId="49" xfId="0" applyFont="1" applyFill="1" applyBorder="1" applyAlignment="1" applyProtection="1">
      <alignment horizontal="left"/>
      <protection hidden="1"/>
    </xf>
    <xf numFmtId="0" fontId="13" fillId="14" borderId="31" xfId="0" applyFont="1" applyFill="1" applyBorder="1" applyAlignment="1" applyProtection="1">
      <alignment horizontal="center"/>
      <protection hidden="1"/>
    </xf>
    <xf numFmtId="0" fontId="13" fillId="14" borderId="3" xfId="0" applyFont="1" applyFill="1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5" xfId="0" applyBorder="1" applyAlignment="1" applyProtection="1">
      <alignment horizontal="center"/>
      <protection hidden="1"/>
    </xf>
    <xf numFmtId="0" fontId="13" fillId="14" borderId="45" xfId="0" applyFont="1" applyFill="1" applyBorder="1" applyAlignment="1" applyProtection="1">
      <alignment horizontal="center"/>
      <protection hidden="1"/>
    </xf>
    <xf numFmtId="0" fontId="13" fillId="14" borderId="46" xfId="0" applyFont="1" applyFill="1" applyBorder="1" applyAlignment="1" applyProtection="1">
      <alignment horizontal="center"/>
      <protection hidden="1"/>
    </xf>
    <xf numFmtId="0" fontId="13" fillId="14" borderId="44" xfId="0" applyFont="1" applyFill="1" applyBorder="1" applyAlignment="1" applyProtection="1">
      <alignment horizontal="left"/>
      <protection hidden="1"/>
    </xf>
    <xf numFmtId="0" fontId="13" fillId="14" borderId="47" xfId="0" applyFont="1" applyFill="1" applyBorder="1" applyAlignment="1" applyProtection="1">
      <alignment horizontal="left"/>
      <protection hidden="1"/>
    </xf>
    <xf numFmtId="0" fontId="13" fillId="14" borderId="45" xfId="0" applyFont="1" applyFill="1" applyBorder="1" applyAlignment="1" applyProtection="1">
      <alignment horizontal="left"/>
      <protection hidden="1"/>
    </xf>
    <xf numFmtId="0" fontId="13" fillId="14" borderId="50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82" xfId="0" applyBorder="1" applyAlignment="1" applyProtection="1">
      <alignment horizontal="center"/>
      <protection hidden="1"/>
    </xf>
    <xf numFmtId="0" fontId="0" fillId="0" borderId="83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60" xfId="0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10" borderId="31" xfId="0" applyFill="1" applyBorder="1" applyAlignment="1">
      <alignment horizontal="center"/>
    </xf>
    <xf numFmtId="0" fontId="0" fillId="12" borderId="31" xfId="0" applyFill="1" applyBorder="1" applyAlignment="1">
      <alignment horizontal="center"/>
    </xf>
    <xf numFmtId="0" fontId="0" fillId="11" borderId="31" xfId="0" applyFill="1" applyBorder="1" applyAlignment="1">
      <alignment horizontal="center"/>
    </xf>
    <xf numFmtId="0" fontId="0" fillId="8" borderId="31" xfId="0" applyFill="1" applyBorder="1" applyAlignment="1">
      <alignment horizontal="center"/>
    </xf>
    <xf numFmtId="0" fontId="0" fillId="12" borderId="37" xfId="0" applyFill="1" applyBorder="1" applyAlignment="1">
      <alignment horizontal="center"/>
    </xf>
    <xf numFmtId="0" fontId="0" fillId="13" borderId="37" xfId="0" applyFill="1" applyBorder="1" applyAlignment="1">
      <alignment horizontal="center"/>
    </xf>
    <xf numFmtId="0" fontId="0" fillId="9" borderId="37" xfId="0" applyFill="1" applyBorder="1" applyAlignment="1">
      <alignment horizontal="center"/>
    </xf>
    <xf numFmtId="0" fontId="0" fillId="8" borderId="36" xfId="0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10" borderId="37" xfId="0" applyFill="1" applyBorder="1" applyAlignment="1">
      <alignment horizontal="center"/>
    </xf>
  </cellXfs>
  <cellStyles count="7">
    <cellStyle name="20% — акцент2" xfId="2" builtinId="34"/>
    <cellStyle name="40% — акцент2" xfId="3" builtinId="35"/>
    <cellStyle name="60% — акцент2" xfId="4" builtinId="36"/>
    <cellStyle name="Гиперссылка" xfId="1" builtinId="8"/>
    <cellStyle name="Обычный" xfId="0" builtinId="0"/>
    <cellStyle name="Обычный_ЭКФ" xfId="5" xr:uid="{35648E09-C72E-4574-B182-50C97490F7EB}"/>
    <cellStyle name="Финансовый" xfId="6" builtinId="3"/>
  </cellStyles>
  <dxfs count="18">
    <dxf>
      <fill>
        <patternFill>
          <bgColor theme="2"/>
        </patternFill>
      </fill>
    </dxf>
    <dxf>
      <fill>
        <patternFill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colors>
    <mruColors>
      <color rgb="FFE95C49"/>
      <color rgb="FFDA0812"/>
      <color rgb="FFFB858B"/>
      <color rgb="FFFF6565"/>
      <color rgb="FFFE54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212177</xdr:colOff>
      <xdr:row>0</xdr:row>
      <xdr:rowOff>105656</xdr:rowOff>
    </xdr:from>
    <xdr:to>
      <xdr:col>28</xdr:col>
      <xdr:colOff>0</xdr:colOff>
      <xdr:row>5</xdr:row>
      <xdr:rowOff>231321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85677" y="105656"/>
          <a:ext cx="3706680" cy="15544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10</xdr:row>
          <xdr:rowOff>228600</xdr:rowOff>
        </xdr:from>
        <xdr:to>
          <xdr:col>9</xdr:col>
          <xdr:colOff>514350</xdr:colOff>
          <xdr:row>12</xdr:row>
          <xdr:rowOff>28575</xdr:rowOff>
        </xdr:to>
        <xdr:sp macro="" textlink="">
          <xdr:nvSpPr>
            <xdr:cNvPr id="1139" name="Button 115" descr="Перегородки не трубуются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Перегородки не требуются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10</xdr:row>
          <xdr:rowOff>228600</xdr:rowOff>
        </xdr:from>
        <xdr:to>
          <xdr:col>13</xdr:col>
          <xdr:colOff>161925</xdr:colOff>
          <xdr:row>12</xdr:row>
          <xdr:rowOff>28575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Перегородки всё-таки требуются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171450</xdr:colOff>
          <xdr:row>102</xdr:row>
          <xdr:rowOff>466725</xdr:rowOff>
        </xdr:from>
        <xdr:to>
          <xdr:col>24</xdr:col>
          <xdr:colOff>485775</xdr:colOff>
          <xdr:row>109</xdr:row>
          <xdr:rowOff>342900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ru-RU" sz="3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Сформировать/обновить спецификацию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152400</xdr:colOff>
      <xdr:row>73</xdr:row>
      <xdr:rowOff>0</xdr:rowOff>
    </xdr:from>
    <xdr:to>
      <xdr:col>25</xdr:col>
      <xdr:colOff>43111</xdr:colOff>
      <xdr:row>100</xdr:row>
      <xdr:rowOff>109049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0" y="23355300"/>
          <a:ext cx="7015411" cy="1199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ekfgroup.com/catalog/products/panel-gorizontalnaya-dlya-sekcionirovaniya-sh800-g600-mm-ekf-alesta" TargetMode="External"/><Relationship Id="rId21" Type="http://schemas.openxmlformats.org/officeDocument/2006/relationships/hyperlink" Target="https://ekfgroup.com/catalog/products/bokovye-paneli-2000x800-2-sht-ekf-alesta" TargetMode="External"/><Relationship Id="rId324" Type="http://schemas.openxmlformats.org/officeDocument/2006/relationships/hyperlink" Target="https://ekfgroup.com/catalog/products/zazhim-na-din-rejku-plastikovyj-1-vint-ew-ekf-proxima" TargetMode="External"/><Relationship Id="rId531" Type="http://schemas.openxmlformats.org/officeDocument/2006/relationships/hyperlink" Target="https://ekfgroup.com/catalog/products/shhetochnyj-burtik-na-alyuminievom-derzhatele-300-45-ekf-basic-2sht" TargetMode="External"/><Relationship Id="rId629" Type="http://schemas.openxmlformats.org/officeDocument/2006/relationships/hyperlink" Target="https://ekfgroup.com/catalog/products/okno-germetichnoe-3-modulya-ip67-proxima" TargetMode="External"/><Relationship Id="rId170" Type="http://schemas.openxmlformats.org/officeDocument/2006/relationships/hyperlink" Target="https://ekfgroup.com/uploads/products/F5297CBB79DBE97D983733D7944DBD3A.pdf" TargetMode="External"/><Relationship Id="rId268" Type="http://schemas.openxmlformats.org/officeDocument/2006/relationships/hyperlink" Target="https://ekfgroup.com/uploads/products/F5297CBB79DBE97D983733D7944DBD3A.pdf" TargetMode="External"/><Relationship Id="rId475" Type="http://schemas.openxmlformats.org/officeDocument/2006/relationships/hyperlink" Target="https://ekfgroup.com/catalog/products/salnik-pg42-ip54-20-sht-d-otv-53-mm-d-provod-32-38-mm-ekf-proxima" TargetMode="External"/><Relationship Id="rId32" Type="http://schemas.openxmlformats.org/officeDocument/2006/relationships/hyperlink" Target="https://ekfgroup.com/catalog/products/panel-zadnyaya-dlya-shkafov-2000-x-800-ekf-alesta" TargetMode="External"/><Relationship Id="rId128" Type="http://schemas.openxmlformats.org/officeDocument/2006/relationships/hyperlink" Target="https://ekfgroup.com/catalog/products/peregorodki-dlya-sborki-gorizontalny-shin-sh800-g400-ekf-alesta" TargetMode="External"/><Relationship Id="rId335" Type="http://schemas.openxmlformats.org/officeDocument/2006/relationships/hyperlink" Target="https://ekfgroup.com/uploads/products/022C116FAFAB3B8FF28801792CA70B61.pdf" TargetMode="External"/><Relationship Id="rId542" Type="http://schemas.openxmlformats.org/officeDocument/2006/relationships/hyperlink" Target="https://ekfgroup.com/catalog/products/znak-plastik-opasnost-porazheniya-elektricheskim-tokom-molniya-w08-150-150mm-ekf-proxima" TargetMode="External"/><Relationship Id="rId181" Type="http://schemas.openxmlformats.org/officeDocument/2006/relationships/hyperlink" Target="https://ekfgroup.com/uploads/products/F5297CBB79DBE97D983733D7944DBD3A.pdf" TargetMode="External"/><Relationship Id="rId402" Type="http://schemas.openxmlformats.org/officeDocument/2006/relationships/hyperlink" Target="https://ekfgroup.com/uploads/products/A07B8143B3B397F72FDEEB31E4B9568B.pdf" TargetMode="External"/><Relationship Id="rId279" Type="http://schemas.openxmlformats.org/officeDocument/2006/relationships/hyperlink" Target="https://ekfgroup.com/catalog/products/shina-ad-31t-10-100-4000-mm-ekf-proxima" TargetMode="External"/><Relationship Id="rId486" Type="http://schemas.openxmlformats.org/officeDocument/2006/relationships/hyperlink" Target="https://ekfgroup.com/catalog/products/salnik-metallicheskij-mgm19-ip68-d-provodnika-6-10-mm-proxima" TargetMode="External"/><Relationship Id="rId43" Type="http://schemas.openxmlformats.org/officeDocument/2006/relationships/hyperlink" Target="https://ekfgroup.com/catalog/products/dver-sploshnaya-dlya-shkafov-v-sh-2000-600-ekf-alesta" TargetMode="External"/><Relationship Id="rId139" Type="http://schemas.openxmlformats.org/officeDocument/2006/relationships/hyperlink" Target="https://ekfgroup.com/uploads/products/F5297CBB79DBE97D983733D7944DBD3A.pdf" TargetMode="External"/><Relationship Id="rId346" Type="http://schemas.openxmlformats.org/officeDocument/2006/relationships/hyperlink" Target="https://ekfgroup.com/catalog/products/ventilyator-s-filtrom-305-m-ch-223x223-mm-220v-ip54-ekf-proxima" TargetMode="External"/><Relationship Id="rId553" Type="http://schemas.openxmlformats.org/officeDocument/2006/relationships/hyperlink" Target="https://ekfgroup.com/catalog/products/naklejka-220v-10-15mm-ekf-proxima" TargetMode="External"/><Relationship Id="rId192" Type="http://schemas.openxmlformats.org/officeDocument/2006/relationships/hyperlink" Target="https://ekfgroup.com/uploads/products/F5297CBB79DBE97D983733D7944DBD3A.pdf" TargetMode="External"/><Relationship Id="rId206" Type="http://schemas.openxmlformats.org/officeDocument/2006/relationships/hyperlink" Target="https://ekfgroup.com/uploads/products/F5297CBB79DBE97D983733D7944DBD3A.pdf" TargetMode="External"/><Relationship Id="rId413" Type="http://schemas.openxmlformats.org/officeDocument/2006/relationships/hyperlink" Target="https://ekfgroup.com/uploads/products/73E2239D520EF881F474747E7EE01508.pdf" TargetMode="External"/><Relationship Id="rId497" Type="http://schemas.openxmlformats.org/officeDocument/2006/relationships/hyperlink" Target="https://ekfgroup.com/catalog/products/salnik-metallicheskij-mgm75-ip68-d-provodnika-42-52-mm-proxima" TargetMode="External"/><Relationship Id="rId620" Type="http://schemas.openxmlformats.org/officeDocument/2006/relationships/hyperlink" Target="https://ekfgroup.com/uploads/products/022C116FAFAB3B8FF28801792CA70B61.pdf" TargetMode="External"/><Relationship Id="rId357" Type="http://schemas.openxmlformats.org/officeDocument/2006/relationships/hyperlink" Target="https://ekfgroup.com/catalog/products/obogrevatel-v-izoliruyushhem-korpuse-s-ventilyatorom-i-termostatom-800vt-230v-ekf-proxima" TargetMode="External"/><Relationship Id="rId54" Type="http://schemas.openxmlformats.org/officeDocument/2006/relationships/hyperlink" Target="https://ekfgroup.com/catalog/products/montazhnaya-panel-v1800-sh600-glu-aya-ekf-alesta" TargetMode="External"/><Relationship Id="rId217" Type="http://schemas.openxmlformats.org/officeDocument/2006/relationships/hyperlink" Target="https://ekfgroup.com/uploads/products/F5297CBB79DBE97D983733D7944DBD3A.pdf" TargetMode="External"/><Relationship Id="rId564" Type="http://schemas.openxmlformats.org/officeDocument/2006/relationships/hyperlink" Target="https://ekfgroup.com/catalog/products/naklejka-l2-d-20mm-ekf-proxima" TargetMode="External"/><Relationship Id="rId424" Type="http://schemas.openxmlformats.org/officeDocument/2006/relationships/hyperlink" Target="https://ekfgroup.com/uploads/products/3FC37FD2726DBB20E99DA407CBB09BB1.pdf" TargetMode="External"/><Relationship Id="rId631" Type="http://schemas.openxmlformats.org/officeDocument/2006/relationships/hyperlink" Target="https://ekfgroup.com/catalog/products/okno-germetichnoe-6-modulej-ip67-proxima" TargetMode="External"/><Relationship Id="rId270" Type="http://schemas.openxmlformats.org/officeDocument/2006/relationships/hyperlink" Target="https://ekfgroup.com/uploads/products/F5297CBB79DBE97D983733D7944DBD3A.pdf" TargetMode="External"/><Relationship Id="rId65" Type="http://schemas.openxmlformats.org/officeDocument/2006/relationships/hyperlink" Target="https://ekfgroup.com/catalog/products/montazhnaya-panel-v600-sh400-glu-aya-ekf-alesta" TargetMode="External"/><Relationship Id="rId130" Type="http://schemas.openxmlformats.org/officeDocument/2006/relationships/hyperlink" Target="https://ekfgroup.com/catalog/products/peregorodki-dlya-sborki-gorizontalny-shin-sh800-g800-ekf-alesta" TargetMode="External"/><Relationship Id="rId368" Type="http://schemas.openxmlformats.org/officeDocument/2006/relationships/hyperlink" Target="https://ekfgroup.com/catalog/products/obogrevatel-na-din-rejku-klemmnyj-45vt-230v-ip20-ekf-proxima" TargetMode="External"/><Relationship Id="rId575" Type="http://schemas.openxmlformats.org/officeDocument/2006/relationships/hyperlink" Target="https://ekfgroup.com/uploads/products/022C116FAFAB3B8FF28801792CA70B61.pdf" TargetMode="External"/><Relationship Id="rId228" Type="http://schemas.openxmlformats.org/officeDocument/2006/relationships/hyperlink" Target="https://ekfgroup.com/uploads/products/F5297CBB79DBE97D983733D7944DBD3A.pdf" TargetMode="External"/><Relationship Id="rId435" Type="http://schemas.openxmlformats.org/officeDocument/2006/relationships/hyperlink" Target="https://ekfgroup.com/uploads/products/E32A76570050D1673D59ECC83E92A0E6.pdf" TargetMode="External"/><Relationship Id="rId642" Type="http://schemas.openxmlformats.org/officeDocument/2006/relationships/hyperlink" Target="https://ekfgroup.com/uploads/products/022C116FAFAB3B8FF28801792CA70B61.pdf" TargetMode="External"/><Relationship Id="rId281" Type="http://schemas.openxmlformats.org/officeDocument/2006/relationships/hyperlink" Target="https://ekfgroup.com/catalog/products/shina-ad-31t-10-60-4000-mm-ekf-proxima" TargetMode="External"/><Relationship Id="rId502" Type="http://schemas.openxmlformats.org/officeDocument/2006/relationships/hyperlink" Target="https://ekfgroup.com/uploads/products/F5297CBB79DBE97D983733D7944DBD3A.pdf" TargetMode="External"/><Relationship Id="rId76" Type="http://schemas.openxmlformats.org/officeDocument/2006/relationships/hyperlink" Target="https://ekfgroup.com/catalog/products/derzhatel-plastronov-v600-2-sht-ekf-alesta" TargetMode="External"/><Relationship Id="rId141" Type="http://schemas.openxmlformats.org/officeDocument/2006/relationships/hyperlink" Target="https://ekfgroup.com/uploads/products/F5297CBB79DBE97D983733D7944DBD3A.pdf" TargetMode="External"/><Relationship Id="rId379" Type="http://schemas.openxmlformats.org/officeDocument/2006/relationships/hyperlink" Target="https://ekfgroup.com/uploads/products/A950CF50AFA158C8BB937B9C71B7F9B7.pdf" TargetMode="External"/><Relationship Id="rId586" Type="http://schemas.openxmlformats.org/officeDocument/2006/relationships/hyperlink" Target="https://ekfgroup.com/uploads/products/022C116FAFAB3B8FF28801792CA70B61.pdf" TargetMode="External"/><Relationship Id="rId7" Type="http://schemas.openxmlformats.org/officeDocument/2006/relationships/hyperlink" Target="https://ekfgroup.com/catalog/products/komplekt-krysha-i-osnovanie-600x400-ekf-alesta" TargetMode="External"/><Relationship Id="rId239" Type="http://schemas.openxmlformats.org/officeDocument/2006/relationships/hyperlink" Target="https://ekfgroup.com/uploads/products/F5297CBB79DBE97D983733D7944DBD3A.pdf" TargetMode="External"/><Relationship Id="rId446" Type="http://schemas.openxmlformats.org/officeDocument/2006/relationships/hyperlink" Target="https://ekfgroup.com/catalog/products/lenta-spiralnaya-montazhnaya-swb-12-d12mm-d9mm-10m-ekf-proxima" TargetMode="External"/><Relationship Id="rId653" Type="http://schemas.openxmlformats.org/officeDocument/2006/relationships/hyperlink" Target="https://ekfgroup.com/catalog/products/birka-kabelnaya-markirovochnaya-u-134-bolshoj-kvadrat-ekf-proxima" TargetMode="External"/><Relationship Id="rId292" Type="http://schemas.openxmlformats.org/officeDocument/2006/relationships/hyperlink" Target="https://ekfgroup.com/uploads/products/022C116FAFAB3B8FF28801792CA70B61.pdf" TargetMode="External"/><Relationship Id="rId306" Type="http://schemas.openxmlformats.org/officeDocument/2006/relationships/hyperlink" Target="https://ekfgroup.com/catalog/products/terminal-dlya-provodnikov-universalnyj-2-5-16-mm2-na-shinu-5mm-ekf-proxima" TargetMode="External"/><Relationship Id="rId87" Type="http://schemas.openxmlformats.org/officeDocument/2006/relationships/hyperlink" Target="https://ekfgroup.com/catalog/products/plastron-v50-sh800-ekf-alesta" TargetMode="External"/><Relationship Id="rId513" Type="http://schemas.openxmlformats.org/officeDocument/2006/relationships/hyperlink" Target="https://ekfgroup.com/uploads/products/E32A76570050D1673D59ECC83E92A0E6.pdf" TargetMode="External"/><Relationship Id="rId597" Type="http://schemas.openxmlformats.org/officeDocument/2006/relationships/hyperlink" Target="https://ekfgroup.com/uploads/products/022C116FAFAB3B8FF28801792CA70B61.pdf" TargetMode="External"/><Relationship Id="rId152" Type="http://schemas.openxmlformats.org/officeDocument/2006/relationships/hyperlink" Target="https://ekfgroup.com/uploads/products/F5297CBB79DBE97D983733D7944DBD3A.pdf" TargetMode="External"/><Relationship Id="rId457" Type="http://schemas.openxmlformats.org/officeDocument/2006/relationships/hyperlink" Target="https://ekfgroup.com/catalog/products/kabelnaya-opletka-iz-poliamida-10-16-mm-100-m-ekf-proxima" TargetMode="External"/><Relationship Id="rId664" Type="http://schemas.openxmlformats.org/officeDocument/2006/relationships/hyperlink" Target="https://ekfgroup.com/uploads/products/E32A76570050D1673D59ECC83E92A0E6.pdf" TargetMode="External"/><Relationship Id="rId14" Type="http://schemas.openxmlformats.org/officeDocument/2006/relationships/hyperlink" Target="https://ekfgroup.com/catalog/products/stojki-vertikalnye-v-2000mm-4sht-ekf-alesta" TargetMode="External"/><Relationship Id="rId317" Type="http://schemas.openxmlformats.org/officeDocument/2006/relationships/hyperlink" Target="https://ekfgroup.com/uploads/products/A4B776318F4385D5D212DF821579F9E4.pdf" TargetMode="External"/><Relationship Id="rId524" Type="http://schemas.openxmlformats.org/officeDocument/2006/relationships/hyperlink" Target="https://ekfgroup.com/uploads/products/E32A76570050D1673D59ECC83E92A0E6.pdf" TargetMode="External"/><Relationship Id="rId98" Type="http://schemas.openxmlformats.org/officeDocument/2006/relationships/hyperlink" Target="https://ekfgroup.com/catalog/products/paneli-bokovye-dlya-sekcionirovaniya-v600-g400-mm-2-sht-ekf-alesta" TargetMode="External"/><Relationship Id="rId163" Type="http://schemas.openxmlformats.org/officeDocument/2006/relationships/hyperlink" Target="https://ekfgroup.com/uploads/products/F5297CBB79DBE97D983733D7944DBD3A.pdf" TargetMode="External"/><Relationship Id="rId370" Type="http://schemas.openxmlformats.org/officeDocument/2006/relationships/hyperlink" Target="https://ekfgroup.com/catalog/products/obogrevatel-na-din-rejku-klemmnyj-75vt-230v-ip20-ekf-proxima" TargetMode="External"/><Relationship Id="rId230" Type="http://schemas.openxmlformats.org/officeDocument/2006/relationships/hyperlink" Target="https://ekfgroup.com/uploads/products/F5297CBB79DBE97D983733D7944DBD3A.pdf" TargetMode="External"/><Relationship Id="rId468" Type="http://schemas.openxmlformats.org/officeDocument/2006/relationships/hyperlink" Target="https://ekfgroup.com/catalog/products/salnik-pg13-5-ip54-20-sht-d-otv-20-mm-d-provod-6-12-mm-ekf-proxima" TargetMode="External"/><Relationship Id="rId25" Type="http://schemas.openxmlformats.org/officeDocument/2006/relationships/hyperlink" Target="https://ekfgroup.com/catalog/products/panel-zadnyaya-dlya-shkafov-1800-x-300-ekf-alesta" TargetMode="External"/><Relationship Id="rId328" Type="http://schemas.openxmlformats.org/officeDocument/2006/relationships/hyperlink" Target="https://ekfgroup.com/catalog/products/kronshtejn-dlya-ustanovki-din-rejki-pod-uglom-ekf-proxima" TargetMode="External"/><Relationship Id="rId535" Type="http://schemas.openxmlformats.org/officeDocument/2006/relationships/hyperlink" Target="https://ekfgroup.com/catalog/products/znak-w-08-opasnost-porazheniya-elektricheskim-tokom-200-200-mm-plenka-samokleyashhayasya-gost-r-12-4-026-2015-ekf" TargetMode="External"/><Relationship Id="rId174" Type="http://schemas.openxmlformats.org/officeDocument/2006/relationships/hyperlink" Target="https://ekfgroup.com/uploads/products/F5297CBB79DBE97D983733D7944DBD3A.pdf" TargetMode="External"/><Relationship Id="rId381" Type="http://schemas.openxmlformats.org/officeDocument/2006/relationships/hyperlink" Target="https://ekfgroup.com/uploads/products/A950CF50AFA158C8BB937B9C71B7F9B7.pdf" TargetMode="External"/><Relationship Id="rId602" Type="http://schemas.openxmlformats.org/officeDocument/2006/relationships/hyperlink" Target="https://ekfgroup.com/uploads/products/022C116FAFAB3B8FF28801792CA70B61.pdf" TargetMode="External"/><Relationship Id="rId241" Type="http://schemas.openxmlformats.org/officeDocument/2006/relationships/hyperlink" Target="https://ekfgroup.com/uploads/products/F5297CBB79DBE97D983733D7944DBD3A.pdf" TargetMode="External"/><Relationship Id="rId479" Type="http://schemas.openxmlformats.org/officeDocument/2006/relationships/hyperlink" Target="https://ekfgroup.com/catalog/products/salnik-d-20mm-dotv-boksa-23mm-ekf-proxima" TargetMode="External"/><Relationship Id="rId36" Type="http://schemas.openxmlformats.org/officeDocument/2006/relationships/hyperlink" Target="https://ekfgroup.com/catalog/products/panel-zadnyaya-dlya-shkafov-2200-x-800-ekf-alesta" TargetMode="External"/><Relationship Id="rId339" Type="http://schemas.openxmlformats.org/officeDocument/2006/relationships/hyperlink" Target="https://ekfgroup.com/uploads/products/022C116FAFAB3B8FF28801792CA70B61.pdf" TargetMode="External"/><Relationship Id="rId546" Type="http://schemas.openxmlformats.org/officeDocument/2006/relationships/hyperlink" Target="https://ekfgroup.com/uploads/products/022C116FAFAB3B8FF28801792CA70B61.pdf" TargetMode="External"/><Relationship Id="rId101" Type="http://schemas.openxmlformats.org/officeDocument/2006/relationships/hyperlink" Target="https://ekfgroup.com/catalog/products/panel-vertikalnaya-dlya-sekcionirovaniya-v1800-g400-mm-ekf-alesta" TargetMode="External"/><Relationship Id="rId185" Type="http://schemas.openxmlformats.org/officeDocument/2006/relationships/hyperlink" Target="https://ekfgroup.com/uploads/products/F5297CBB79DBE97D983733D7944DBD3A.pdf" TargetMode="External"/><Relationship Id="rId406" Type="http://schemas.openxmlformats.org/officeDocument/2006/relationships/hyperlink" Target="https://ekfgroup.com/uploads/products/A07B8143B3B397F72FDEEB31E4B9568B.pdf" TargetMode="External"/><Relationship Id="rId392" Type="http://schemas.openxmlformats.org/officeDocument/2006/relationships/hyperlink" Target="https://ekfgroup.com/uploads/products/A07B8143B3B397F72FDEEB31E4B9568B.pdf" TargetMode="External"/><Relationship Id="rId613" Type="http://schemas.openxmlformats.org/officeDocument/2006/relationships/hyperlink" Target="https://ekfgroup.com/catalog/products/karman-dlya-dokumentacii-plastikovyj-a4-ekf-basic" TargetMode="External"/><Relationship Id="rId252" Type="http://schemas.openxmlformats.org/officeDocument/2006/relationships/hyperlink" Target="https://ekfgroup.com/uploads/products/F5297CBB79DBE97D983733D7944DBD3A.pdf" TargetMode="External"/><Relationship Id="rId47" Type="http://schemas.openxmlformats.org/officeDocument/2006/relationships/hyperlink" Target="https://ekfgroup.com/catalog/products/dver-sploshnaya-dlya-shkafov-v-sh-2200-600-ekf-alesta" TargetMode="External"/><Relationship Id="rId112" Type="http://schemas.openxmlformats.org/officeDocument/2006/relationships/hyperlink" Target="https://ekfgroup.com/catalog/products/panel-gorizontalnaya-dlya-sekcionirovaniya-sh400-g800-mm-ekf-alesta" TargetMode="External"/><Relationship Id="rId557" Type="http://schemas.openxmlformats.org/officeDocument/2006/relationships/hyperlink" Target="https://ekfgroup.com/catalog/products/naklejka-380v-10-15mm-ekf-proxima" TargetMode="External"/><Relationship Id="rId196" Type="http://schemas.openxmlformats.org/officeDocument/2006/relationships/hyperlink" Target="https://ekfgroup.com/uploads/products/F5297CBB79DBE97D983733D7944DBD3A.pdf" TargetMode="External"/><Relationship Id="rId417" Type="http://schemas.openxmlformats.org/officeDocument/2006/relationships/hyperlink" Target="https://ekfgroup.com/uploads/products/7183C124707A27C911DC1C6E8EBC1B5B.pdf" TargetMode="External"/><Relationship Id="rId624" Type="http://schemas.openxmlformats.org/officeDocument/2006/relationships/hyperlink" Target="https://ekfgroup.com/catalog/products/okno-germetichnoe-12-modulej-ip67-proxima" TargetMode="External"/><Relationship Id="rId263" Type="http://schemas.openxmlformats.org/officeDocument/2006/relationships/hyperlink" Target="https://ekfgroup.com/uploads/products/F5297CBB79DBE97D983733D7944DBD3A.pdf" TargetMode="External"/><Relationship Id="rId470" Type="http://schemas.openxmlformats.org/officeDocument/2006/relationships/hyperlink" Target="https://ekfgroup.com/catalog/products/salnik-pg19-ip54-20-sht-d-otv-24-mm-d-provod-12-15-mm-ekf-proxima" TargetMode="External"/><Relationship Id="rId58" Type="http://schemas.openxmlformats.org/officeDocument/2006/relationships/hyperlink" Target="https://ekfgroup.com/catalog/products/montazhnaya-panel-v2000-sh800-glu-aya-ekf-alesta" TargetMode="External"/><Relationship Id="rId123" Type="http://schemas.openxmlformats.org/officeDocument/2006/relationships/hyperlink" Target="https://ekfgroup.com/catalog/products/peregorodki-dlya-sborki-gorizontalny-shin-sh400-g600-ekf-alesta" TargetMode="External"/><Relationship Id="rId330" Type="http://schemas.openxmlformats.org/officeDocument/2006/relationships/hyperlink" Target="https://ekfgroup.com/catalog/products/din-rejka-1mm-perforir-2000mm-ekf-proxima" TargetMode="External"/><Relationship Id="rId568" Type="http://schemas.openxmlformats.org/officeDocument/2006/relationships/hyperlink" Target="https://ekfgroup.com/catalog/products/naklejka-pe-d20mm-ekf-proxima" TargetMode="External"/><Relationship Id="rId428" Type="http://schemas.openxmlformats.org/officeDocument/2006/relationships/hyperlink" Target="https://ekfgroup.com/catalog/products/ploshhadka-samokleyashhayasya-20-20mm-chernaya-100sht-ekf" TargetMode="External"/><Relationship Id="rId635" Type="http://schemas.openxmlformats.org/officeDocument/2006/relationships/hyperlink" Target="https://ekfgroup.com/uploads/products/022C116FAFAB3B8FF28801792CA70B61.pdf" TargetMode="External"/><Relationship Id="rId274" Type="http://schemas.openxmlformats.org/officeDocument/2006/relationships/hyperlink" Target="https://ekfgroup.com/catalog/products/shina-m1t-10-120-4000-mm-ekf-proxima" TargetMode="External"/><Relationship Id="rId481" Type="http://schemas.openxmlformats.org/officeDocument/2006/relationships/hyperlink" Target="https://ekfgroup.com/catalog/products/salnik-d-26mm-dotv-boksa-32mm-ekf-proxima" TargetMode="External"/><Relationship Id="rId27" Type="http://schemas.openxmlformats.org/officeDocument/2006/relationships/hyperlink" Target="https://ekfgroup.com/catalog/products/panel-zadnyaya-dlya-shkafov-1800-x-600-ekf-alesta" TargetMode="External"/><Relationship Id="rId69" Type="http://schemas.openxmlformats.org/officeDocument/2006/relationships/hyperlink" Target="https://ekfgroup.com/catalog/products/montazhnaya-panel-v900-sh600-glu-aya-ekf-alesta" TargetMode="External"/><Relationship Id="rId134" Type="http://schemas.openxmlformats.org/officeDocument/2006/relationships/hyperlink" Target="https://ekfgroup.com/catalog/products/komplekt-panelej-cokolya-alesta-sh_g-800-mm-v-100mm-1-kmp-2-sht-ekf-alesta" TargetMode="External"/><Relationship Id="rId537" Type="http://schemas.openxmlformats.org/officeDocument/2006/relationships/hyperlink" Target="https://ekfgroup.com/catalog/products/znak-plastik-ne-vklyuchat-rabota-na-linii-s01-100-200mm-ekf-proxima" TargetMode="External"/><Relationship Id="rId579" Type="http://schemas.openxmlformats.org/officeDocument/2006/relationships/hyperlink" Target="https://ekfgroup.com/uploads/products/022C116FAFAB3B8FF28801792CA70B61.pdf" TargetMode="External"/><Relationship Id="rId80" Type="http://schemas.openxmlformats.org/officeDocument/2006/relationships/hyperlink" Target="https://ekfgroup.com/catalog/products/plastron-v100-sh800-ekf-alesta" TargetMode="External"/><Relationship Id="rId176" Type="http://schemas.openxmlformats.org/officeDocument/2006/relationships/hyperlink" Target="https://ekfgroup.com/uploads/products/F5297CBB79DBE97D983733D7944DBD3A.pdf" TargetMode="External"/><Relationship Id="rId341" Type="http://schemas.openxmlformats.org/officeDocument/2006/relationships/hyperlink" Target="https://ekfgroup.com/catalog/products/stopor-na-din-rejku-vintovoj-ekf-proxima" TargetMode="External"/><Relationship Id="rId383" Type="http://schemas.openxmlformats.org/officeDocument/2006/relationships/hyperlink" Target="https://ekfgroup.com/uploads/products/A950CF50AFA158C8BB937B9C71B7F9B7.pdf" TargetMode="External"/><Relationship Id="rId439" Type="http://schemas.openxmlformats.org/officeDocument/2006/relationships/hyperlink" Target="https://ekfgroup.com/uploads/products/E32A76570050D1673D59ECC83E92A0E6.pdf" TargetMode="External"/><Relationship Id="rId590" Type="http://schemas.openxmlformats.org/officeDocument/2006/relationships/hyperlink" Target="https://ekfgroup.com/uploads/products/022C116FAFAB3B8FF28801792CA70B61.pdf" TargetMode="External"/><Relationship Id="rId604" Type="http://schemas.openxmlformats.org/officeDocument/2006/relationships/hyperlink" Target="https://ekfgroup.com/uploads/products/022C116FAFAB3B8FF28801792CA70B61.pdf" TargetMode="External"/><Relationship Id="rId646" Type="http://schemas.openxmlformats.org/officeDocument/2006/relationships/hyperlink" Target="https://ekfgroup.com/catalog/products/okno-ucheta-dlya-shhu-ip54-118-80-ekf" TargetMode="External"/><Relationship Id="rId201" Type="http://schemas.openxmlformats.org/officeDocument/2006/relationships/hyperlink" Target="https://ekfgroup.com/uploads/products/F5297CBB79DBE97D983733D7944DBD3A.pdf" TargetMode="External"/><Relationship Id="rId243" Type="http://schemas.openxmlformats.org/officeDocument/2006/relationships/hyperlink" Target="https://ekfgroup.com/uploads/products/F5297CBB79DBE97D983733D7944DBD3A.pdf" TargetMode="External"/><Relationship Id="rId285" Type="http://schemas.openxmlformats.org/officeDocument/2006/relationships/hyperlink" Target="https://ekfgroup.com/catalog/products/shina-ad-31t-8-60-4000-mm-ekf-proxima" TargetMode="External"/><Relationship Id="rId450" Type="http://schemas.openxmlformats.org/officeDocument/2006/relationships/hyperlink" Target="https://ekfgroup.com/uploads/products/E32A76570050D1673D59ECC83E92A0E6.pdf" TargetMode="External"/><Relationship Id="rId506" Type="http://schemas.openxmlformats.org/officeDocument/2006/relationships/hyperlink" Target="https://ekfgroup.com/uploads/products/E32A76570050D1673D59ECC83E92A0E6.pdf" TargetMode="External"/><Relationship Id="rId38" Type="http://schemas.openxmlformats.org/officeDocument/2006/relationships/hyperlink" Target="https://ekfgroup.com/catalog/products/dver-sploshnaya-dlya-shkafov-v-sh-1800-400-ekf-alesta" TargetMode="External"/><Relationship Id="rId103" Type="http://schemas.openxmlformats.org/officeDocument/2006/relationships/hyperlink" Target="https://ekfgroup.com/catalog/products/panel-vertikalnaya-dlya-sekcionirovaniya-v1800-g800-mm-ekf-alesta" TargetMode="External"/><Relationship Id="rId310" Type="http://schemas.openxmlformats.org/officeDocument/2006/relationships/hyperlink" Target="https://ekfgroup.com/catalog/products/terminal-dlya-provodnikov-universalnyj-70-185-mm2-na-shinu-5mm-ekf-proxima" TargetMode="External"/><Relationship Id="rId492" Type="http://schemas.openxmlformats.org/officeDocument/2006/relationships/hyperlink" Target="https://ekfgroup.com/catalog/products/salnik-metallicheskij-mgm32-ip68-d-provodnika-15-22-mm-proxima" TargetMode="External"/><Relationship Id="rId548" Type="http://schemas.openxmlformats.org/officeDocument/2006/relationships/hyperlink" Target="https://ekfgroup.com/uploads/products/022C116FAFAB3B8FF28801792CA70B61.pdf" TargetMode="External"/><Relationship Id="rId91" Type="http://schemas.openxmlformats.org/officeDocument/2006/relationships/hyperlink" Target="https://ekfgroup.com/catalog/products/plastron-v600-sh800-ekf-alesta" TargetMode="External"/><Relationship Id="rId145" Type="http://schemas.openxmlformats.org/officeDocument/2006/relationships/hyperlink" Target="https://ekfgroup.com/uploads/products/F5297CBB79DBE97D983733D7944DBD3A.pdf" TargetMode="External"/><Relationship Id="rId187" Type="http://schemas.openxmlformats.org/officeDocument/2006/relationships/hyperlink" Target="https://ekfgroup.com/uploads/products/E03431278B38B8762A8E16EBD2ADBD57.pdf" TargetMode="External"/><Relationship Id="rId352" Type="http://schemas.openxmlformats.org/officeDocument/2006/relationships/hyperlink" Target="https://ekfgroup.com/catalog/products/ventilyacionnaya-reshetka-s-filtrom-223x223-mm-ip54-ekf-proxima" TargetMode="External"/><Relationship Id="rId394" Type="http://schemas.openxmlformats.org/officeDocument/2006/relationships/hyperlink" Target="https://ekfgroup.com/uploads/products/A07B8143B3B397F72FDEEB31E4B9568B.pdf" TargetMode="External"/><Relationship Id="rId408" Type="http://schemas.openxmlformats.org/officeDocument/2006/relationships/hyperlink" Target="https://ekfgroup.com/uploads/products/73E2239D520EF881F474747E7EE01508.pdf" TargetMode="External"/><Relationship Id="rId615" Type="http://schemas.openxmlformats.org/officeDocument/2006/relationships/hyperlink" Target="https://ekfgroup.com/uploads/products/022C116FAFAB3B8FF28801792CA70B61.pdf" TargetMode="External"/><Relationship Id="rId212" Type="http://schemas.openxmlformats.org/officeDocument/2006/relationships/hyperlink" Target="https://ekfgroup.com/uploads/products/F5297CBB79DBE97D983733D7944DBD3A.pdf" TargetMode="External"/><Relationship Id="rId254" Type="http://schemas.openxmlformats.org/officeDocument/2006/relationships/hyperlink" Target="https://ekfgroup.com/uploads/products/F5297CBB79DBE97D983733D7944DBD3A.pdf" TargetMode="External"/><Relationship Id="rId657" Type="http://schemas.openxmlformats.org/officeDocument/2006/relationships/hyperlink" Target="https://ekfgroup.com/catalog/products/birka-markirovochnaya-myagkaya-u-134m-100-sht-bolshoj-kvadrat-ekf-proxima" TargetMode="External"/><Relationship Id="rId49" Type="http://schemas.openxmlformats.org/officeDocument/2006/relationships/hyperlink" Target="https://ekfgroup.com/catalog/products/rejka-montazhnaya-perforirovannaya-d400-2-sht-ekf-alesta" TargetMode="External"/><Relationship Id="rId114" Type="http://schemas.openxmlformats.org/officeDocument/2006/relationships/hyperlink" Target="https://ekfgroup.com/catalog/products/panel-gorizontalnaya-dlya-sekcionirovaniya-sh600-g600-mm-ekf-alesta" TargetMode="External"/><Relationship Id="rId296" Type="http://schemas.openxmlformats.org/officeDocument/2006/relationships/hyperlink" Target="https://ekfgroup.com/uploads/products/022C116FAFAB3B8FF28801792CA70B61.pdf" TargetMode="External"/><Relationship Id="rId461" Type="http://schemas.openxmlformats.org/officeDocument/2006/relationships/hyperlink" Target="https://ekfgroup.com/catalog/products/kabelnaya-opletka-iz-poliamida-25-40-mm-50-m-ekf-proxima" TargetMode="External"/><Relationship Id="rId517" Type="http://schemas.openxmlformats.org/officeDocument/2006/relationships/hyperlink" Target="https://ekfgroup.com/uploads/products/E32A76570050D1673D59ECC83E92A0E6.pdf" TargetMode="External"/><Relationship Id="rId559" Type="http://schemas.openxmlformats.org/officeDocument/2006/relationships/hyperlink" Target="https://ekfgroup.com/catalog/products/naklejka-42v-10-15mm-ekf-proxima" TargetMode="External"/><Relationship Id="rId60" Type="http://schemas.openxmlformats.org/officeDocument/2006/relationships/hyperlink" Target="https://ekfgroup.com/catalog/products/montazhnaya-panel-v2200-sh600-glu-aya-ekf-alesta" TargetMode="External"/><Relationship Id="rId156" Type="http://schemas.openxmlformats.org/officeDocument/2006/relationships/hyperlink" Target="https://ekfgroup.com/uploads/products/F5297CBB79DBE97D983733D7944DBD3A.pdf" TargetMode="External"/><Relationship Id="rId198" Type="http://schemas.openxmlformats.org/officeDocument/2006/relationships/hyperlink" Target="https://ekfgroup.com/uploads/products/F5297CBB79DBE97D983733D7944DBD3A.pdf" TargetMode="External"/><Relationship Id="rId321" Type="http://schemas.openxmlformats.org/officeDocument/2006/relationships/hyperlink" Target="https://ekfgroup.com/catalog/products/din-rejka-perforirovannaya-2000mm-ekf-proxima" TargetMode="External"/><Relationship Id="rId363" Type="http://schemas.openxmlformats.org/officeDocument/2006/relationships/hyperlink" Target="https://ekfgroup.com/catalog/products/obogrevatel-na-din-rejku-60vt-230v-ip20-ekf-proxima" TargetMode="External"/><Relationship Id="rId419" Type="http://schemas.openxmlformats.org/officeDocument/2006/relationships/hyperlink" Target="https://ekfgroup.com/catalog/products/koncevoj-vyklyuchatel-tz-8104-ekf-proxima" TargetMode="External"/><Relationship Id="rId570" Type="http://schemas.openxmlformats.org/officeDocument/2006/relationships/hyperlink" Target="https://ekfgroup.com/uploads/products/022C116FAFAB3B8FF28801792CA70B61.pdf" TargetMode="External"/><Relationship Id="rId626" Type="http://schemas.openxmlformats.org/officeDocument/2006/relationships/hyperlink" Target="https://ekfgroup.com/catalog/products/okno-germetichnoe-16-modulej-ip67-proxima" TargetMode="External"/><Relationship Id="rId223" Type="http://schemas.openxmlformats.org/officeDocument/2006/relationships/hyperlink" Target="https://ekfgroup.com/uploads/products/F5297CBB79DBE97D983733D7944DBD3A.pdf" TargetMode="External"/><Relationship Id="rId430" Type="http://schemas.openxmlformats.org/officeDocument/2006/relationships/hyperlink" Target="https://ekfgroup.com/catalog/products/ploshhadka-samokleyashhayasya-25-25mm-chernaya-100sht-ekf" TargetMode="External"/><Relationship Id="rId18" Type="http://schemas.openxmlformats.org/officeDocument/2006/relationships/hyperlink" Target="https://ekfgroup.com/catalog/products/bokovye-paneli-1800x800-2-sht-ekf-alesta" TargetMode="External"/><Relationship Id="rId265" Type="http://schemas.openxmlformats.org/officeDocument/2006/relationships/hyperlink" Target="https://ekfgroup.com/uploads/products/F5297CBB79DBE97D983733D7944DBD3A.pdf" TargetMode="External"/><Relationship Id="rId472" Type="http://schemas.openxmlformats.org/officeDocument/2006/relationships/hyperlink" Target="https://ekfgroup.com/catalog/products/salnik-pg25-ip54-20-sht-d-otv-30-mm-d-provod-16-21-mm-ekf-proxima" TargetMode="External"/><Relationship Id="rId528" Type="http://schemas.openxmlformats.org/officeDocument/2006/relationships/hyperlink" Target="https://ekfgroup.com/uploads/products/E32A76570050D1673D59ECC83E92A0E6.pdf" TargetMode="External"/><Relationship Id="rId125" Type="http://schemas.openxmlformats.org/officeDocument/2006/relationships/hyperlink" Target="https://ekfgroup.com/catalog/products/peregorodki-dlya-sborki-gorizontalny-shin-sh600-g400-ekf-alesta" TargetMode="External"/><Relationship Id="rId167" Type="http://schemas.openxmlformats.org/officeDocument/2006/relationships/hyperlink" Target="https://ekfgroup.com/uploads/products/F5297CBB79DBE97D983733D7944DBD3A.pdf" TargetMode="External"/><Relationship Id="rId332" Type="http://schemas.openxmlformats.org/officeDocument/2006/relationships/hyperlink" Target="https://ekfgroup.com/uploads/products/022C116FAFAB3B8FF28801792CA70B61.pdf" TargetMode="External"/><Relationship Id="rId374" Type="http://schemas.openxmlformats.org/officeDocument/2006/relationships/hyperlink" Target="https://ekfgroup.com/catalog/products/termostat-no-nc-o-lazhdenie-i-obogrev-na-din-rejku-10a-230v-ip20-ekf-proxima" TargetMode="External"/><Relationship Id="rId581" Type="http://schemas.openxmlformats.org/officeDocument/2006/relationships/hyperlink" Target="https://ekfgroup.com/uploads/products/022C116FAFAB3B8FF28801792CA70B61.pdf" TargetMode="External"/><Relationship Id="rId71" Type="http://schemas.openxmlformats.org/officeDocument/2006/relationships/hyperlink" Target="https://ekfgroup.com/catalog/products/derzhatel-plastronov-v100-2-sht-ekf-alesta" TargetMode="External"/><Relationship Id="rId234" Type="http://schemas.openxmlformats.org/officeDocument/2006/relationships/hyperlink" Target="https://ekfgroup.com/uploads/products/F5297CBB79DBE97D983733D7944DBD3A.pdf" TargetMode="External"/><Relationship Id="rId637" Type="http://schemas.openxmlformats.org/officeDocument/2006/relationships/hyperlink" Target="https://ekfgroup.com/uploads/products/022C116FAFAB3B8FF28801792CA70B61.pdf" TargetMode="External"/><Relationship Id="rId2" Type="http://schemas.openxmlformats.org/officeDocument/2006/relationships/hyperlink" Target="https://ekfgroup.com/catalog/products/komplekt-krysha-i-ocnovanie-400x400-ekf-alesta" TargetMode="External"/><Relationship Id="rId29" Type="http://schemas.openxmlformats.org/officeDocument/2006/relationships/hyperlink" Target="https://ekfgroup.com/catalog/products/panel-zadnyaya-dlya-shkafov-2000-x-300-ekf-alesta" TargetMode="External"/><Relationship Id="rId276" Type="http://schemas.openxmlformats.org/officeDocument/2006/relationships/hyperlink" Target="https://ekfgroup.com/catalog/products/shina-m1t-10-80-4000-mm-ekf-proxima" TargetMode="External"/><Relationship Id="rId441" Type="http://schemas.openxmlformats.org/officeDocument/2006/relationships/hyperlink" Target="https://ekfgroup.com/uploads/products/E32A76570050D1673D59ECC83E92A0E6.pdf" TargetMode="External"/><Relationship Id="rId483" Type="http://schemas.openxmlformats.org/officeDocument/2006/relationships/hyperlink" Target="https://ekfgroup.com/catalog/products/salnik-d-40mm-dotv-boksa-49mm-ekf-proxima" TargetMode="External"/><Relationship Id="rId539" Type="http://schemas.openxmlformats.org/officeDocument/2006/relationships/hyperlink" Target="https://ekfgroup.com/catalog/products/znak-plastik-ne-vlezaj-ubet-s07-150-300mm-ekf-proxima" TargetMode="External"/><Relationship Id="rId40" Type="http://schemas.openxmlformats.org/officeDocument/2006/relationships/hyperlink" Target="https://ekfgroup.com/catalog/products/dver-sploshnaya-dlya-shkafov-v-sh-1800-800-ekf-alesta" TargetMode="External"/><Relationship Id="rId136" Type="http://schemas.openxmlformats.org/officeDocument/2006/relationships/hyperlink" Target="https://ekfgroup.com/uploads/products/F5297CBB79DBE97D983733D7944DBD3A.pdf" TargetMode="External"/><Relationship Id="rId178" Type="http://schemas.openxmlformats.org/officeDocument/2006/relationships/hyperlink" Target="https://ekfgroup.com/uploads/products/F5297CBB79DBE97D983733D7944DBD3A.pdf" TargetMode="External"/><Relationship Id="rId301" Type="http://schemas.openxmlformats.org/officeDocument/2006/relationships/hyperlink" Target="https://ekfgroup.com/catalog/products/terminal-dlya-provodnikov-universalnyj-1-4-mm2-na-shinu-10mm-ekf-proxima" TargetMode="External"/><Relationship Id="rId343" Type="http://schemas.openxmlformats.org/officeDocument/2006/relationships/hyperlink" Target="https://ekfgroup.com/catalog/products/ventilyator-s-filtrom-102-m-ch-176x176-mm-220v-ip54-ekf-proxima" TargetMode="External"/><Relationship Id="rId550" Type="http://schemas.openxmlformats.org/officeDocument/2006/relationships/hyperlink" Target="https://ekfgroup.com/uploads/products/022C116FAFAB3B8FF28801792CA70B61.pdf" TargetMode="External"/><Relationship Id="rId82" Type="http://schemas.openxmlformats.org/officeDocument/2006/relationships/hyperlink" Target="https://ekfgroup.com/catalog/products/plastron-v2000-sh300-ekf-alesta" TargetMode="External"/><Relationship Id="rId203" Type="http://schemas.openxmlformats.org/officeDocument/2006/relationships/hyperlink" Target="https://ekfgroup.com/uploads/products/F5297CBB79DBE97D983733D7944DBD3A.pdf" TargetMode="External"/><Relationship Id="rId385" Type="http://schemas.openxmlformats.org/officeDocument/2006/relationships/hyperlink" Target="https://ekfgroup.com/uploads/products/A950CF50AFA158C8BB937B9C71B7F9B7.pdf" TargetMode="External"/><Relationship Id="rId592" Type="http://schemas.openxmlformats.org/officeDocument/2006/relationships/hyperlink" Target="https://ekfgroup.com/uploads/products/022C116FAFAB3B8FF28801792CA70B61.pdf" TargetMode="External"/><Relationship Id="rId606" Type="http://schemas.openxmlformats.org/officeDocument/2006/relationships/hyperlink" Target="https://ekfgroup.com/catalog/products/komplekt-modulny-nakleek-bolshoj-s-ind-shk-164-299-ekf-proxima" TargetMode="External"/><Relationship Id="rId648" Type="http://schemas.openxmlformats.org/officeDocument/2006/relationships/hyperlink" Target="https://ekfgroup.com/uploads/products/022C116FAFAB3B8FF28801792CA70B61.pdf" TargetMode="External"/><Relationship Id="rId245" Type="http://schemas.openxmlformats.org/officeDocument/2006/relationships/hyperlink" Target="https://ekfgroup.com/uploads/products/F5297CBB79DBE97D983733D7944DBD3A.pdf" TargetMode="External"/><Relationship Id="rId287" Type="http://schemas.openxmlformats.org/officeDocument/2006/relationships/hyperlink" Target="https://ekfgroup.com/uploads/products/022C116FAFAB3B8FF28801792CA70B61.pdf" TargetMode="External"/><Relationship Id="rId410" Type="http://schemas.openxmlformats.org/officeDocument/2006/relationships/hyperlink" Target="https://ekfgroup.com/uploads/products/73E2239D520EF881F474747E7EE01508.pdf" TargetMode="External"/><Relationship Id="rId452" Type="http://schemas.openxmlformats.org/officeDocument/2006/relationships/hyperlink" Target="https://ekfgroup.com/uploads/products/E32A76570050D1673D59ECC83E92A0E6.pdf" TargetMode="External"/><Relationship Id="rId494" Type="http://schemas.openxmlformats.org/officeDocument/2006/relationships/hyperlink" Target="https://ekfgroup.com/catalog/products/salnik-metallicheskij-mgm48-ip68-d-provodnika-25-32-mm-proxima" TargetMode="External"/><Relationship Id="rId508" Type="http://schemas.openxmlformats.org/officeDocument/2006/relationships/hyperlink" Target="https://ekfgroup.com/uploads/products/F5297CBB79DBE97D983733D7944DBD3A.pdf" TargetMode="External"/><Relationship Id="rId105" Type="http://schemas.openxmlformats.org/officeDocument/2006/relationships/hyperlink" Target="https://ekfgroup.com/catalog/products/panel-vertikalnaya-dlya-sekcionirovaniya-v2000-g600-mm-ekf-alesta" TargetMode="External"/><Relationship Id="rId147" Type="http://schemas.openxmlformats.org/officeDocument/2006/relationships/hyperlink" Target="https://ekfgroup.com/uploads/products/F5297CBB79DBE97D983733D7944DBD3A.pdf" TargetMode="External"/><Relationship Id="rId312" Type="http://schemas.openxmlformats.org/officeDocument/2006/relationships/hyperlink" Target="https://ekfgroup.com/uploads/products/A4B776318F4385D5D212DF821579F9E4.pdf" TargetMode="External"/><Relationship Id="rId354" Type="http://schemas.openxmlformats.org/officeDocument/2006/relationships/hyperlink" Target="https://ekfgroup.com/catalog/products/ventilyacionnaya-reshetka-s-filtrom-92x92-mm-ip54-ekf-proxima" TargetMode="External"/><Relationship Id="rId51" Type="http://schemas.openxmlformats.org/officeDocument/2006/relationships/hyperlink" Target="https://ekfgroup.com/catalog/products/rejka-montazhnaya-perforirovannaya-d800-2-sht-ekf-alesta" TargetMode="External"/><Relationship Id="rId93" Type="http://schemas.openxmlformats.org/officeDocument/2006/relationships/hyperlink" Target="https://ekfgroup.com/catalog/products/plastron-s-vyrezom-dlya-modulny-ustrojstv-v200-sh600-mm-ekf-alesta" TargetMode="External"/><Relationship Id="rId189" Type="http://schemas.openxmlformats.org/officeDocument/2006/relationships/hyperlink" Target="https://ekfgroup.com/uploads/products/F5297CBB79DBE97D983733D7944DBD3A.pdf" TargetMode="External"/><Relationship Id="rId396" Type="http://schemas.openxmlformats.org/officeDocument/2006/relationships/hyperlink" Target="https://ekfgroup.com/uploads/products/A07B8143B3B397F72FDEEB31E4B9568B.pdf" TargetMode="External"/><Relationship Id="rId561" Type="http://schemas.openxmlformats.org/officeDocument/2006/relationships/hyperlink" Target="https://ekfgroup.com/catalog/products/naklejka-b-d-20mm-ekf-proxima" TargetMode="External"/><Relationship Id="rId617" Type="http://schemas.openxmlformats.org/officeDocument/2006/relationships/hyperlink" Target="https://ekfgroup.com/uploads/products/022C116FAFAB3B8FF28801792CA70B61.pdf" TargetMode="External"/><Relationship Id="rId659" Type="http://schemas.openxmlformats.org/officeDocument/2006/relationships/hyperlink" Target="https://ekfgroup.com/catalog/products/birka-markirovochnaya-myagkaya-u-136m-100-sht-treugolnik-ekf-proxima" TargetMode="External"/><Relationship Id="rId214" Type="http://schemas.openxmlformats.org/officeDocument/2006/relationships/hyperlink" Target="https://ekfgroup.com/uploads/products/F5297CBB79DBE97D983733D7944DBD3A.pdf" TargetMode="External"/><Relationship Id="rId256" Type="http://schemas.openxmlformats.org/officeDocument/2006/relationships/hyperlink" Target="https://ekfgroup.com/uploads/products/F5297CBB79DBE97D983733D7944DBD3A.pdf" TargetMode="External"/><Relationship Id="rId298" Type="http://schemas.openxmlformats.org/officeDocument/2006/relationships/hyperlink" Target="https://ekfgroup.com/uploads/products/022C116FAFAB3B8FF28801792CA70B61.pdf" TargetMode="External"/><Relationship Id="rId421" Type="http://schemas.openxmlformats.org/officeDocument/2006/relationships/hyperlink" Target="https://ekfgroup.com/catalog/products/koncevoj-vyklyuchatel-tz-8108-ekf-proxima" TargetMode="External"/><Relationship Id="rId463" Type="http://schemas.openxmlformats.org/officeDocument/2006/relationships/hyperlink" Target="https://ekfgroup.com/uploads/products/F5297CBB79DBE97D983733D7944DBD3A.pdf" TargetMode="External"/><Relationship Id="rId519" Type="http://schemas.openxmlformats.org/officeDocument/2006/relationships/hyperlink" Target="https://ekfgroup.com/uploads/products/E32A76570050D1673D59ECC83E92A0E6.pdf" TargetMode="External"/><Relationship Id="rId116" Type="http://schemas.openxmlformats.org/officeDocument/2006/relationships/hyperlink" Target="https://ekfgroup.com/catalog/products/panel-gorizontalnaya-dlya-sekcionirovaniya-sh800-g400-mm-ekf-alesta" TargetMode="External"/><Relationship Id="rId158" Type="http://schemas.openxmlformats.org/officeDocument/2006/relationships/hyperlink" Target="https://ekfgroup.com/uploads/products/F5297CBB79DBE97D983733D7944DBD3A.pdf" TargetMode="External"/><Relationship Id="rId323" Type="http://schemas.openxmlformats.org/officeDocument/2006/relationships/hyperlink" Target="https://ekfgroup.com/catalog/products/zazhim-na-din-rejku-2-vinta-hdw-201-ekf-proxima" TargetMode="External"/><Relationship Id="rId530" Type="http://schemas.openxmlformats.org/officeDocument/2006/relationships/hyperlink" Target="https://ekfgroup.com/uploads/products/E32A76570050D1673D59ECC83E92A0E6.pdf" TargetMode="External"/><Relationship Id="rId20" Type="http://schemas.openxmlformats.org/officeDocument/2006/relationships/hyperlink" Target="https://ekfgroup.com/catalog/products/bokovye-paneli-2000x600-2-sht-ekf-alesta" TargetMode="External"/><Relationship Id="rId62" Type="http://schemas.openxmlformats.org/officeDocument/2006/relationships/hyperlink" Target="https://ekfgroup.com/catalog/products/montazhnaya-panel-v300-sh400-glu-aya-ekf-alesta" TargetMode="External"/><Relationship Id="rId365" Type="http://schemas.openxmlformats.org/officeDocument/2006/relationships/hyperlink" Target="https://ekfgroup.com/catalog/products/obogrevatel-na-din-rejku-klemmnyj-150vt-230v-ip20-ekf-proxima" TargetMode="External"/><Relationship Id="rId572" Type="http://schemas.openxmlformats.org/officeDocument/2006/relationships/hyperlink" Target="https://ekfgroup.com/uploads/products/022C116FAFAB3B8FF28801792CA70B61.pdf" TargetMode="External"/><Relationship Id="rId628" Type="http://schemas.openxmlformats.org/officeDocument/2006/relationships/hyperlink" Target="https://ekfgroup.com/catalog/products/okno-germetichnoe-2-modulya-ip67-proxima" TargetMode="External"/><Relationship Id="rId225" Type="http://schemas.openxmlformats.org/officeDocument/2006/relationships/hyperlink" Target="https://ekfgroup.com/uploads/products/F5297CBB79DBE97D983733D7944DBD3A.pdf" TargetMode="External"/><Relationship Id="rId267" Type="http://schemas.openxmlformats.org/officeDocument/2006/relationships/hyperlink" Target="https://ekfgroup.com/uploads/products/F5297CBB79DBE97D983733D7944DBD3A.pdf" TargetMode="External"/><Relationship Id="rId432" Type="http://schemas.openxmlformats.org/officeDocument/2006/relationships/hyperlink" Target="https://ekfgroup.com/catalog/products/ploshhadka-samokleyashhayasya-30-30mm-chernaya-100sht-ekf" TargetMode="External"/><Relationship Id="rId474" Type="http://schemas.openxmlformats.org/officeDocument/2006/relationships/hyperlink" Target="https://ekfgroup.com/catalog/products/salnik-pg36-ip54-20-sht-d-otv-46-mm-d-provod-22-32-mm-ekf-proxima" TargetMode="External"/><Relationship Id="rId127" Type="http://schemas.openxmlformats.org/officeDocument/2006/relationships/hyperlink" Target="https://ekfgroup.com/catalog/products/peregorodki-dlya-sborki-gorizontalny-shin-sh600-g800-ekf-alesta" TargetMode="External"/><Relationship Id="rId31" Type="http://schemas.openxmlformats.org/officeDocument/2006/relationships/hyperlink" Target="https://ekfgroup.com/catalog/products/panel-zadnyaya-dlya-shkafov-2000-x-600-ekf-alesta" TargetMode="External"/><Relationship Id="rId73" Type="http://schemas.openxmlformats.org/officeDocument/2006/relationships/hyperlink" Target="https://ekfgroup.com/catalog/products/derzhatel-plastronov-v2000-2-sht-ekf-alesta" TargetMode="External"/><Relationship Id="rId169" Type="http://schemas.openxmlformats.org/officeDocument/2006/relationships/hyperlink" Target="https://ekfgroup.com/uploads/products/F5297CBB79DBE97D983733D7944DBD3A.pdf" TargetMode="External"/><Relationship Id="rId334" Type="http://schemas.openxmlformats.org/officeDocument/2006/relationships/hyperlink" Target="https://ekfgroup.com/uploads/products/022C116FAFAB3B8FF28801792CA70B61.pdf" TargetMode="External"/><Relationship Id="rId376" Type="http://schemas.openxmlformats.org/officeDocument/2006/relationships/hyperlink" Target="https://ekfgroup.com/catalog/products/termostat-no-nc-o-lazhdenie-obogrev-nakladnoj-16a-230v-ip20-ekf-proxima" TargetMode="External"/><Relationship Id="rId541" Type="http://schemas.openxmlformats.org/officeDocument/2006/relationships/hyperlink" Target="https://ekfgroup.com/catalog/products/znak-plastik-opasnost-porazheniya-elektricheskim-tokom-molniya-w08-100-100mm-ekf-proxima" TargetMode="External"/><Relationship Id="rId583" Type="http://schemas.openxmlformats.org/officeDocument/2006/relationships/hyperlink" Target="https://ekfgroup.com/uploads/products/022C116FAFAB3B8FF28801792CA70B61.pdf" TargetMode="External"/><Relationship Id="rId639" Type="http://schemas.openxmlformats.org/officeDocument/2006/relationships/hyperlink" Target="https://ekfgroup.com/uploads/products/022C116FAFAB3B8FF28801792CA70B61.pdf" TargetMode="External"/><Relationship Id="rId4" Type="http://schemas.openxmlformats.org/officeDocument/2006/relationships/hyperlink" Target="https://ekfgroup.com/catalog/products/komplekt-krysha-i-osnovanie-300x800-ekf-alesta" TargetMode="External"/><Relationship Id="rId180" Type="http://schemas.openxmlformats.org/officeDocument/2006/relationships/hyperlink" Target="https://ekfgroup.com/uploads/products/F5297CBB79DBE97D983733D7944DBD3A.pdf" TargetMode="External"/><Relationship Id="rId236" Type="http://schemas.openxmlformats.org/officeDocument/2006/relationships/hyperlink" Target="https://ekfgroup.com/uploads/products/F5297CBB79DBE97D983733D7944DBD3A.pdf" TargetMode="External"/><Relationship Id="rId278" Type="http://schemas.openxmlformats.org/officeDocument/2006/relationships/hyperlink" Target="https://ekfgroup.com/catalog/products/shina-m1t-5-50-4000-mm-ekf-proxima" TargetMode="External"/><Relationship Id="rId401" Type="http://schemas.openxmlformats.org/officeDocument/2006/relationships/hyperlink" Target="https://ekfgroup.com/uploads/products/A07B8143B3B397F72FDEEB31E4B9568B.pdf" TargetMode="External"/><Relationship Id="rId443" Type="http://schemas.openxmlformats.org/officeDocument/2006/relationships/hyperlink" Target="https://ekfgroup.com/catalog/products/lenta-spiralnaya-montazhnaya-swb-06-d6mm-d4mm-10m-ekf-proxima" TargetMode="External"/><Relationship Id="rId650" Type="http://schemas.openxmlformats.org/officeDocument/2006/relationships/hyperlink" Target="https://ekfgroup.com/uploads/products/022C116FAFAB3B8FF28801792CA70B61.pdf" TargetMode="External"/><Relationship Id="rId303" Type="http://schemas.openxmlformats.org/officeDocument/2006/relationships/hyperlink" Target="https://ekfgroup.com/catalog/products/terminal-dlya-provodnikov-universalnyj-16-50-mm2-na-shinu-10mm-ekf-proxima" TargetMode="External"/><Relationship Id="rId485" Type="http://schemas.openxmlformats.org/officeDocument/2006/relationships/hyperlink" Target="https://ekfgroup.com/catalog/products/salnik-metallicheskij-mgm16-ip68-d-provodnika-4-8-mm-proxima" TargetMode="External"/><Relationship Id="rId42" Type="http://schemas.openxmlformats.org/officeDocument/2006/relationships/hyperlink" Target="https://ekfgroup.com/catalog/products/dver-sploshnaya-dlya-shkafov-v-sh-2000-400-ekf-alesta" TargetMode="External"/><Relationship Id="rId84" Type="http://schemas.openxmlformats.org/officeDocument/2006/relationships/hyperlink" Target="https://ekfgroup.com/catalog/products/plastron-v50-sh300-ekf-alesta" TargetMode="External"/><Relationship Id="rId138" Type="http://schemas.openxmlformats.org/officeDocument/2006/relationships/hyperlink" Target="https://ekfgroup.com/uploads/products/F5297CBB79DBE97D983733D7944DBD3A.pdf" TargetMode="External"/><Relationship Id="rId345" Type="http://schemas.openxmlformats.org/officeDocument/2006/relationships/hyperlink" Target="https://ekfgroup.com/catalog/products/ventilyator-s-filtrom-19-m-ch-92x92-mm-ip54-ekf-proxima" TargetMode="External"/><Relationship Id="rId387" Type="http://schemas.openxmlformats.org/officeDocument/2006/relationships/hyperlink" Target="https://ekfgroup.com/uploads/products/A950CF50AFA158C8BB937B9C71B7F9B7.pdf" TargetMode="External"/><Relationship Id="rId510" Type="http://schemas.openxmlformats.org/officeDocument/2006/relationships/hyperlink" Target="https://ekfgroup.com/uploads/products/F5297CBB79DBE97D983733D7944DBD3A.pdf" TargetMode="External"/><Relationship Id="rId552" Type="http://schemas.openxmlformats.org/officeDocument/2006/relationships/hyperlink" Target="https://ekfgroup.com/catalog/products/naklejka-12-modulej-ekf-proxima" TargetMode="External"/><Relationship Id="rId594" Type="http://schemas.openxmlformats.org/officeDocument/2006/relationships/hyperlink" Target="https://ekfgroup.com/catalog/products/naklejka-molniya-130-130-130mm-ekf-proxima" TargetMode="External"/><Relationship Id="rId608" Type="http://schemas.openxmlformats.org/officeDocument/2006/relationships/hyperlink" Target="https://ekfgroup.com/catalog/products/komplekt-modulny-nakleek-malyj-s-ind-shk-110-200-ekf-proxima" TargetMode="External"/><Relationship Id="rId191" Type="http://schemas.openxmlformats.org/officeDocument/2006/relationships/hyperlink" Target="https://ekfgroup.com/uploads/products/F5297CBB79DBE97D983733D7944DBD3A.pdf" TargetMode="External"/><Relationship Id="rId205" Type="http://schemas.openxmlformats.org/officeDocument/2006/relationships/hyperlink" Target="https://ekfgroup.com/uploads/products/F5297CBB79DBE97D983733D7944DBD3A.pdf" TargetMode="External"/><Relationship Id="rId247" Type="http://schemas.openxmlformats.org/officeDocument/2006/relationships/hyperlink" Target="https://ekfgroup.com/uploads/products/F5297CBB79DBE97D983733D7944DBD3A.pdf" TargetMode="External"/><Relationship Id="rId412" Type="http://schemas.openxmlformats.org/officeDocument/2006/relationships/hyperlink" Target="https://ekfgroup.com/uploads/products/73E2239D520EF881F474747E7EE01508.pdf" TargetMode="External"/><Relationship Id="rId107" Type="http://schemas.openxmlformats.org/officeDocument/2006/relationships/hyperlink" Target="https://ekfgroup.com/catalog/products/panel-vertikalnaya-dlya-sekcionirovaniya-v2200-g400-mm-ekf-alesta" TargetMode="External"/><Relationship Id="rId289" Type="http://schemas.openxmlformats.org/officeDocument/2006/relationships/hyperlink" Target="https://ekfgroup.com/uploads/products/022C116FAFAB3B8FF28801792CA70B61.pdf" TargetMode="External"/><Relationship Id="rId454" Type="http://schemas.openxmlformats.org/officeDocument/2006/relationships/hyperlink" Target="https://ekfgroup.com/uploads/products/E32A76570050D1673D59ECC83E92A0E6.pdf" TargetMode="External"/><Relationship Id="rId496" Type="http://schemas.openxmlformats.org/officeDocument/2006/relationships/hyperlink" Target="https://ekfgroup.com/catalog/products/salnik-metallicheskij-mgm63-ip68-d-provodnika-37-44-mm-proxima" TargetMode="External"/><Relationship Id="rId661" Type="http://schemas.openxmlformats.org/officeDocument/2006/relationships/hyperlink" Target="https://ekfgroup.com/uploads/products/E32A76570050D1673D59ECC83E92A0E6.pdf" TargetMode="External"/><Relationship Id="rId11" Type="http://schemas.openxmlformats.org/officeDocument/2006/relationships/hyperlink" Target="https://ekfgroup.com/catalog/products/komplekt-krysha-i-osnovanie-800x600-ekf-alesta" TargetMode="External"/><Relationship Id="rId53" Type="http://schemas.openxmlformats.org/officeDocument/2006/relationships/hyperlink" Target="https://ekfgroup.com/catalog/products/montazhnaya-panel-v1800-sh400-glu-aya-ekf-alesta" TargetMode="External"/><Relationship Id="rId149" Type="http://schemas.openxmlformats.org/officeDocument/2006/relationships/hyperlink" Target="https://ekfgroup.com/uploads/products/F5297CBB79DBE97D983733D7944DBD3A.pdf" TargetMode="External"/><Relationship Id="rId314" Type="http://schemas.openxmlformats.org/officeDocument/2006/relationships/hyperlink" Target="https://ekfgroup.com/uploads/products/A4B776318F4385D5D212DF821579F9E4.pdf" TargetMode="External"/><Relationship Id="rId356" Type="http://schemas.openxmlformats.org/officeDocument/2006/relationships/hyperlink" Target="https://ekfgroup.com/catalog/products/obogrevatel-v-izoliruyushhem-korpuse-s-ventilyatorom-i-termostatom-1200vt-230v-ekf-proxima" TargetMode="External"/><Relationship Id="rId398" Type="http://schemas.openxmlformats.org/officeDocument/2006/relationships/hyperlink" Target="https://ekfgroup.com/uploads/products/A07B8143B3B397F72FDEEB31E4B9568B.pdf" TargetMode="External"/><Relationship Id="rId521" Type="http://schemas.openxmlformats.org/officeDocument/2006/relationships/hyperlink" Target="https://ekfgroup.com/uploads/products/E32A76570050D1673D59ECC83E92A0E6.pdf" TargetMode="External"/><Relationship Id="rId563" Type="http://schemas.openxmlformats.org/officeDocument/2006/relationships/hyperlink" Target="https://ekfgroup.com/catalog/products/naklejka-l1-d-20mm-ekf-proxima" TargetMode="External"/><Relationship Id="rId619" Type="http://schemas.openxmlformats.org/officeDocument/2006/relationships/hyperlink" Target="https://ekfgroup.com/uploads/products/022C116FAFAB3B8FF28801792CA70B61.pdf" TargetMode="External"/><Relationship Id="rId95" Type="http://schemas.openxmlformats.org/officeDocument/2006/relationships/hyperlink" Target="https://ekfgroup.com/catalog/products/paneli-bokovye-dlya-sekcionirovaniya-v300-g400-mm-2-sht-ekf-alesta" TargetMode="External"/><Relationship Id="rId160" Type="http://schemas.openxmlformats.org/officeDocument/2006/relationships/hyperlink" Target="https://ekfgroup.com/uploads/products/F5297CBB79DBE97D983733D7944DBD3A.pdf" TargetMode="External"/><Relationship Id="rId216" Type="http://schemas.openxmlformats.org/officeDocument/2006/relationships/hyperlink" Target="https://ekfgroup.com/uploads/products/F5297CBB79DBE97D983733D7944DBD3A.pdf" TargetMode="External"/><Relationship Id="rId423" Type="http://schemas.openxmlformats.org/officeDocument/2006/relationships/hyperlink" Target="https://ekfgroup.com/catalog/products/koncevoj-vyklyuchatel-wlca12-2-q-ekf-proxima" TargetMode="External"/><Relationship Id="rId258" Type="http://schemas.openxmlformats.org/officeDocument/2006/relationships/hyperlink" Target="https://ekfgroup.com/uploads/products/F5297CBB79DBE97D983733D7944DBD3A.pdf" TargetMode="External"/><Relationship Id="rId465" Type="http://schemas.openxmlformats.org/officeDocument/2006/relationships/hyperlink" Target="https://ekfgroup.com/uploads/products/F5297CBB79DBE97D983733D7944DBD3A.pdf" TargetMode="External"/><Relationship Id="rId630" Type="http://schemas.openxmlformats.org/officeDocument/2006/relationships/hyperlink" Target="https://ekfgroup.com/catalog/products/okno-germetichnoe-4-modulya-ip67-proxima" TargetMode="External"/><Relationship Id="rId22" Type="http://schemas.openxmlformats.org/officeDocument/2006/relationships/hyperlink" Target="https://ekfgroup.com/catalog/products/bokovye-paneli-2200x400-2-sht-ekf-alesta" TargetMode="External"/><Relationship Id="rId64" Type="http://schemas.openxmlformats.org/officeDocument/2006/relationships/hyperlink" Target="https://ekfgroup.com/catalog/products/montazhnaya-panel-v300-sh800-glu-aya-ekf-alesta" TargetMode="External"/><Relationship Id="rId118" Type="http://schemas.openxmlformats.org/officeDocument/2006/relationships/hyperlink" Target="https://ekfgroup.com/catalog/products/panel-gorizontalnaya-dlya-sekcionirovaniya-sh800-g800-mm-ekf-alesta" TargetMode="External"/><Relationship Id="rId325" Type="http://schemas.openxmlformats.org/officeDocument/2006/relationships/hyperlink" Target="https://ekfgroup.com/catalog/products/kronshtejn-dlya-ustanovki-din-rejki-h-20mm-ekf-proxima" TargetMode="External"/><Relationship Id="rId367" Type="http://schemas.openxmlformats.org/officeDocument/2006/relationships/hyperlink" Target="https://ekfgroup.com/catalog/products/obogrevatel-na-din-rejku-klemmnyj-30vt-230v-ip20-ekf-proxima" TargetMode="External"/><Relationship Id="rId532" Type="http://schemas.openxmlformats.org/officeDocument/2006/relationships/hyperlink" Target="https://ekfgroup.com/catalog/products/shhetochnyj-burtik-na-alyuminievom-derzhatele-400-45-ekf-basic-2sht" TargetMode="External"/><Relationship Id="rId574" Type="http://schemas.openxmlformats.org/officeDocument/2006/relationships/hyperlink" Target="https://ekfgroup.com/uploads/products/022C116FAFAB3B8FF28801792CA70B61.pdf" TargetMode="External"/><Relationship Id="rId171" Type="http://schemas.openxmlformats.org/officeDocument/2006/relationships/hyperlink" Target="https://ekfgroup.com/uploads/products/F5297CBB79DBE97D983733D7944DBD3A.pdf" TargetMode="External"/><Relationship Id="rId227" Type="http://schemas.openxmlformats.org/officeDocument/2006/relationships/hyperlink" Target="https://ekfgroup.com/uploads/products/F5297CBB79DBE97D983733D7944DBD3A.pdf" TargetMode="External"/><Relationship Id="rId269" Type="http://schemas.openxmlformats.org/officeDocument/2006/relationships/hyperlink" Target="https://ekfgroup.com/uploads/products/F5297CBB79DBE97D983733D7944DBD3A.pdf" TargetMode="External"/><Relationship Id="rId434" Type="http://schemas.openxmlformats.org/officeDocument/2006/relationships/hyperlink" Target="https://ekfgroup.com/catalog/products/ploshhadka-samokleyashhayasya-40-40mm-chernaya-100sht-ekf" TargetMode="External"/><Relationship Id="rId476" Type="http://schemas.openxmlformats.org/officeDocument/2006/relationships/hyperlink" Target="https://ekfgroup.com/catalog/products/salnik-pg48-ip54-20-sht-d-otv-59-mm-d-provod-37-44-mm-ekf-proxima" TargetMode="External"/><Relationship Id="rId641" Type="http://schemas.openxmlformats.org/officeDocument/2006/relationships/hyperlink" Target="https://ekfgroup.com/uploads/products/022C116FAFAB3B8FF28801792CA70B61.pdf" TargetMode="External"/><Relationship Id="rId33" Type="http://schemas.openxmlformats.org/officeDocument/2006/relationships/hyperlink" Target="https://ekfgroup.com/catalog/products/panel-zadnyaya-dlya-shkafov-2200-x-300-ekf-alesta" TargetMode="External"/><Relationship Id="rId129" Type="http://schemas.openxmlformats.org/officeDocument/2006/relationships/hyperlink" Target="https://ekfgroup.com/catalog/products/peregorodki-dlya-sborki-gorizontalny-shin-sh800-g600-ekf-alesta" TargetMode="External"/><Relationship Id="rId280" Type="http://schemas.openxmlformats.org/officeDocument/2006/relationships/hyperlink" Target="https://ekfgroup.com/catalog/products/shina-ad-31t-10-120-4000-mm-ekf-proxima" TargetMode="External"/><Relationship Id="rId336" Type="http://schemas.openxmlformats.org/officeDocument/2006/relationships/hyperlink" Target="https://ekfgroup.com/uploads/products/022C116FAFAB3B8FF28801792CA70B61.pdf" TargetMode="External"/><Relationship Id="rId501" Type="http://schemas.openxmlformats.org/officeDocument/2006/relationships/hyperlink" Target="https://ekfgroup.com/uploads/products/F5297CBB79DBE97D983733D7944DBD3A.pdf" TargetMode="External"/><Relationship Id="rId543" Type="http://schemas.openxmlformats.org/officeDocument/2006/relationships/hyperlink" Target="https://ekfgroup.com/uploads/products/022C116FAFAB3B8FF28801792CA70B61.pdf" TargetMode="External"/><Relationship Id="rId75" Type="http://schemas.openxmlformats.org/officeDocument/2006/relationships/hyperlink" Target="https://ekfgroup.com/catalog/products/derzhatel-plastronov-v50-2-sht-ekf-alesta" TargetMode="External"/><Relationship Id="rId140" Type="http://schemas.openxmlformats.org/officeDocument/2006/relationships/hyperlink" Target="https://ekfgroup.com/uploads/products/F5297CBB79DBE97D983733D7944DBD3A.pdf" TargetMode="External"/><Relationship Id="rId182" Type="http://schemas.openxmlformats.org/officeDocument/2006/relationships/hyperlink" Target="https://ekfgroup.com/uploads/products/F5297CBB79DBE97D983733D7944DBD3A.pdf" TargetMode="External"/><Relationship Id="rId378" Type="http://schemas.openxmlformats.org/officeDocument/2006/relationships/hyperlink" Target="https://ekfgroup.com/catalog/products/termostat-elektronnyj-na-din-rejku-10-a-230-v-ip20-ekf-proxima" TargetMode="External"/><Relationship Id="rId403" Type="http://schemas.openxmlformats.org/officeDocument/2006/relationships/hyperlink" Target="https://ekfgroup.com/uploads/products/A07B8143B3B397F72FDEEB31E4B9568B.pdf" TargetMode="External"/><Relationship Id="rId585" Type="http://schemas.openxmlformats.org/officeDocument/2006/relationships/hyperlink" Target="https://ekfgroup.com/uploads/products/022C116FAFAB3B8FF28801792CA70B61.pdf" TargetMode="External"/><Relationship Id="rId6" Type="http://schemas.openxmlformats.org/officeDocument/2006/relationships/hyperlink" Target="https://ekfgroup.com/catalog/products/komplekt-krysha-i-osnovanie-400x800-ekf-alesta" TargetMode="External"/><Relationship Id="rId238" Type="http://schemas.openxmlformats.org/officeDocument/2006/relationships/hyperlink" Target="https://ekfgroup.com/uploads/products/F5297CBB79DBE97D983733D7944DBD3A.pdf" TargetMode="External"/><Relationship Id="rId445" Type="http://schemas.openxmlformats.org/officeDocument/2006/relationships/hyperlink" Target="https://ekfgroup.com/catalog/products/lenta-spiralnaya-montazhnaya-swb-10-d10mm-d7-5mm-10m-ekf-proxima" TargetMode="External"/><Relationship Id="rId487" Type="http://schemas.openxmlformats.org/officeDocument/2006/relationships/hyperlink" Target="https://ekfgroup.com/catalog/products/salnik-metallicheskij-mgm20-ip68-d-provodnika-8-12-mm-proxima" TargetMode="External"/><Relationship Id="rId610" Type="http://schemas.openxmlformats.org/officeDocument/2006/relationships/hyperlink" Target="https://ekfgroup.com/catalog/products/komplekt-modulny-nakleek-srednij-s-ind-shk-137-240-ekf-proxima" TargetMode="External"/><Relationship Id="rId652" Type="http://schemas.openxmlformats.org/officeDocument/2006/relationships/hyperlink" Target="https://ekfgroup.com/uploads/products/022C116FAFAB3B8FF28801792CA70B61.pdf" TargetMode="External"/><Relationship Id="rId291" Type="http://schemas.openxmlformats.org/officeDocument/2006/relationships/hyperlink" Target="https://ekfgroup.com/uploads/products/022C116FAFAB3B8FF28801792CA70B61.pdf" TargetMode="External"/><Relationship Id="rId305" Type="http://schemas.openxmlformats.org/officeDocument/2006/relationships/hyperlink" Target="https://ekfgroup.com/catalog/products/terminal-dlya-provodnikov-universalnyj-2-5-16-mm2-na-shinu-10mm-ekf-proxima" TargetMode="External"/><Relationship Id="rId347" Type="http://schemas.openxmlformats.org/officeDocument/2006/relationships/hyperlink" Target="https://ekfgroup.com/catalog/products/ventilyator-s-filtrom-433-m-ch-291x291-mm-ip54-ekf-proxima" TargetMode="External"/><Relationship Id="rId512" Type="http://schemas.openxmlformats.org/officeDocument/2006/relationships/hyperlink" Target="https://ekfgroup.com/uploads/products/E32A76570050D1673D59ECC83E92A0E6.pdf" TargetMode="External"/><Relationship Id="rId44" Type="http://schemas.openxmlformats.org/officeDocument/2006/relationships/hyperlink" Target="https://ekfgroup.com/catalog/products/dver-sploshnaya-dlya-shkafov-v-sh-2000-800-ekf-alesta" TargetMode="External"/><Relationship Id="rId86" Type="http://schemas.openxmlformats.org/officeDocument/2006/relationships/hyperlink" Target="https://ekfgroup.com/catalog/products/plastron-v50-sh600-ekf-alesta" TargetMode="External"/><Relationship Id="rId151" Type="http://schemas.openxmlformats.org/officeDocument/2006/relationships/hyperlink" Target="https://ekfgroup.com/uploads/products/F5297CBB79DBE97D983733D7944DBD3A.pdf" TargetMode="External"/><Relationship Id="rId389" Type="http://schemas.openxmlformats.org/officeDocument/2006/relationships/hyperlink" Target="https://ekfgroup.com/uploads/products/A950CF50AFA158C8BB937B9C71B7F9B7.pdf" TargetMode="External"/><Relationship Id="rId554" Type="http://schemas.openxmlformats.org/officeDocument/2006/relationships/hyperlink" Target="https://ekfgroup.com/catalog/products/naklejka-220v-20-40mm-ekf-proxima" TargetMode="External"/><Relationship Id="rId596" Type="http://schemas.openxmlformats.org/officeDocument/2006/relationships/hyperlink" Target="https://ekfgroup.com/catalog/products/naklejka-molniya-25-25-25mm-ekf-proxima" TargetMode="External"/><Relationship Id="rId193" Type="http://schemas.openxmlformats.org/officeDocument/2006/relationships/hyperlink" Target="https://ekfgroup.com/uploads/products/F5297CBB79DBE97D983733D7944DBD3A.pdf" TargetMode="External"/><Relationship Id="rId207" Type="http://schemas.openxmlformats.org/officeDocument/2006/relationships/hyperlink" Target="https://ekfgroup.com/uploads/products/F5297CBB79DBE97D983733D7944DBD3A.pdf" TargetMode="External"/><Relationship Id="rId249" Type="http://schemas.openxmlformats.org/officeDocument/2006/relationships/hyperlink" Target="https://ekfgroup.com/uploads/products/F5297CBB79DBE97D983733D7944DBD3A.pdf" TargetMode="External"/><Relationship Id="rId414" Type="http://schemas.openxmlformats.org/officeDocument/2006/relationships/hyperlink" Target="https://ekfgroup.com/uploads/products/73E2239D520EF881F474747E7EE01508.pdf" TargetMode="External"/><Relationship Id="rId456" Type="http://schemas.openxmlformats.org/officeDocument/2006/relationships/hyperlink" Target="https://ekfgroup.com/uploads/products/E32A76570050D1673D59ECC83E92A0E6.pdf" TargetMode="External"/><Relationship Id="rId498" Type="http://schemas.openxmlformats.org/officeDocument/2006/relationships/hyperlink" Target="https://ekfgroup.com/catalog/products/flanec-membrannyj-220-79-mm-dlya-shkafa-ip54-ekf-proxima" TargetMode="External"/><Relationship Id="rId621" Type="http://schemas.openxmlformats.org/officeDocument/2006/relationships/hyperlink" Target="https://ekfgroup.com/uploads/products/022C116FAFAB3B8FF28801792CA70B61.pdf" TargetMode="External"/><Relationship Id="rId663" Type="http://schemas.openxmlformats.org/officeDocument/2006/relationships/hyperlink" Target="https://ekfgroup.com/uploads/products/E32A76570050D1673D59ECC83E92A0E6.pdf" TargetMode="External"/><Relationship Id="rId13" Type="http://schemas.openxmlformats.org/officeDocument/2006/relationships/hyperlink" Target="https://ekfgroup.com/catalog/products/stojki-vertikalnye-v-1800mm-4sht-ekf-alesta" TargetMode="External"/><Relationship Id="rId109" Type="http://schemas.openxmlformats.org/officeDocument/2006/relationships/hyperlink" Target="https://ekfgroup.com/catalog/products/panel-vertikalnaya-dlya-sekcionirovaniya-v2200-g800-mm-ekf-alesta" TargetMode="External"/><Relationship Id="rId260" Type="http://schemas.openxmlformats.org/officeDocument/2006/relationships/hyperlink" Target="https://ekfgroup.com/uploads/products/F5297CBB79DBE97D983733D7944DBD3A.pdf" TargetMode="External"/><Relationship Id="rId316" Type="http://schemas.openxmlformats.org/officeDocument/2006/relationships/hyperlink" Target="https://ekfgroup.com/uploads/products/A4B776318F4385D5D212DF821579F9E4.pdf" TargetMode="External"/><Relationship Id="rId523" Type="http://schemas.openxmlformats.org/officeDocument/2006/relationships/hyperlink" Target="https://ekfgroup.com/uploads/products/E32A76570050D1673D59ECC83E92A0E6.pdf" TargetMode="External"/><Relationship Id="rId55" Type="http://schemas.openxmlformats.org/officeDocument/2006/relationships/hyperlink" Target="https://ekfgroup.com/catalog/products/montazhnaya-panel-v1800-sh800-glu-aya-ekf-alesta" TargetMode="External"/><Relationship Id="rId97" Type="http://schemas.openxmlformats.org/officeDocument/2006/relationships/hyperlink" Target="https://ekfgroup.com/catalog/products/paneli-bokovye-dlya-sekcionirovaniya-v300-g800-mm-2-sht-ekf-alesta" TargetMode="External"/><Relationship Id="rId120" Type="http://schemas.openxmlformats.org/officeDocument/2006/relationships/hyperlink" Target="https://ekfgroup.com/catalog/products/peregorodki-dlya-sborki-gorizontalny-shin-sh300-g600-ekf-alesta" TargetMode="External"/><Relationship Id="rId358" Type="http://schemas.openxmlformats.org/officeDocument/2006/relationships/hyperlink" Target="https://ekfgroup.com/catalog/products/obogrevatel-v-izoliruyushhem-korpuse-s-ventilyatorom-i-termostatom-900vt-230v-ekf-proxima" TargetMode="External"/><Relationship Id="rId565" Type="http://schemas.openxmlformats.org/officeDocument/2006/relationships/hyperlink" Target="https://ekfgroup.com/catalog/products/naklejka-l3-d-20mm-ekf-proxima" TargetMode="External"/><Relationship Id="rId162" Type="http://schemas.openxmlformats.org/officeDocument/2006/relationships/hyperlink" Target="https://ekfgroup.com/uploads/products/F5297CBB79DBE97D983733D7944DBD3A.pdf" TargetMode="External"/><Relationship Id="rId218" Type="http://schemas.openxmlformats.org/officeDocument/2006/relationships/hyperlink" Target="https://ekfgroup.com/uploads/products/F5297CBB79DBE97D983733D7944DBD3A.pdf" TargetMode="External"/><Relationship Id="rId425" Type="http://schemas.openxmlformats.org/officeDocument/2006/relationships/hyperlink" Target="https://ekfgroup.com/catalog/products/koncevoj-vyklyuchatel-wlca2-2-ekf-proxima" TargetMode="External"/><Relationship Id="rId467" Type="http://schemas.openxmlformats.org/officeDocument/2006/relationships/hyperlink" Target="https://ekfgroup.com/catalog/products/salnik-pg11-ip54-20-sht-d-otv-18-mm-d-provod-5-10-mm-ekf-proxima" TargetMode="External"/><Relationship Id="rId632" Type="http://schemas.openxmlformats.org/officeDocument/2006/relationships/hyperlink" Target="https://ekfgroup.com/catalog/products/okno-germetichnoe-8-modulej-ip67-proxima" TargetMode="External"/><Relationship Id="rId271" Type="http://schemas.openxmlformats.org/officeDocument/2006/relationships/hyperlink" Target="https://ekfgroup.com/catalog/products/lenta-dlya-zashhity-kromok-s-metallokordom-0-75-2-mm-10-m-ekf-proxima" TargetMode="External"/><Relationship Id="rId24" Type="http://schemas.openxmlformats.org/officeDocument/2006/relationships/hyperlink" Target="https://ekfgroup.com/catalog/products/bokovye-paneli-2200x800-2-sht-ekf-alesta" TargetMode="External"/><Relationship Id="rId66" Type="http://schemas.openxmlformats.org/officeDocument/2006/relationships/hyperlink" Target="https://ekfgroup.com/catalog/products/montazhnaya-panel-v600-sh600-glu-aya-ekf-alesta" TargetMode="External"/><Relationship Id="rId131" Type="http://schemas.openxmlformats.org/officeDocument/2006/relationships/hyperlink" Target="https://ekfgroup.com/catalog/products/komplekt-panelej-cokolya-alesta-sh_g-300-mm-v-100mm-1-kmp-2-sht-ekf-alesta" TargetMode="External"/><Relationship Id="rId327" Type="http://schemas.openxmlformats.org/officeDocument/2006/relationships/hyperlink" Target="https://ekfgroup.com/catalog/products/kronshtejn-dlya-ustanovki-din-rejki-h-50mm-ekf-proxima" TargetMode="External"/><Relationship Id="rId369" Type="http://schemas.openxmlformats.org/officeDocument/2006/relationships/hyperlink" Target="https://ekfgroup.com/catalog/products/obogrevatel-na-din-rejku-klemmnyj-60vt-230v-ip20-ekf-proxima" TargetMode="External"/><Relationship Id="rId534" Type="http://schemas.openxmlformats.org/officeDocument/2006/relationships/hyperlink" Target="https://ekfgroup.com/uploads/products/022C116FAFAB3B8FF28801792CA70B61.pdf" TargetMode="External"/><Relationship Id="rId576" Type="http://schemas.openxmlformats.org/officeDocument/2006/relationships/hyperlink" Target="https://ekfgroup.com/uploads/products/022C116FAFAB3B8FF28801792CA70B61.pdf" TargetMode="External"/><Relationship Id="rId173" Type="http://schemas.openxmlformats.org/officeDocument/2006/relationships/hyperlink" Target="https://ekfgroup.com/uploads/products/F5297CBB79DBE97D983733D7944DBD3A.pdf" TargetMode="External"/><Relationship Id="rId229" Type="http://schemas.openxmlformats.org/officeDocument/2006/relationships/hyperlink" Target="https://ekfgroup.com/uploads/products/F5297CBB79DBE97D983733D7944DBD3A.pdf" TargetMode="External"/><Relationship Id="rId380" Type="http://schemas.openxmlformats.org/officeDocument/2006/relationships/hyperlink" Target="https://ekfgroup.com/uploads/products/A950CF50AFA158C8BB937B9C71B7F9B7.pdf" TargetMode="External"/><Relationship Id="rId436" Type="http://schemas.openxmlformats.org/officeDocument/2006/relationships/hyperlink" Target="https://ekfgroup.com/uploads/products/E32A76570050D1673D59ECC83E92A0E6.pdf" TargetMode="External"/><Relationship Id="rId601" Type="http://schemas.openxmlformats.org/officeDocument/2006/relationships/hyperlink" Target="https://ekfgroup.com/catalog/products/naklejka-molniya-50-50-50mm-ekf-proxima" TargetMode="External"/><Relationship Id="rId643" Type="http://schemas.openxmlformats.org/officeDocument/2006/relationships/hyperlink" Target="https://ekfgroup.com/uploads/products/022C116FAFAB3B8FF28801792CA70B61.pdf" TargetMode="External"/><Relationship Id="rId240" Type="http://schemas.openxmlformats.org/officeDocument/2006/relationships/hyperlink" Target="https://ekfgroup.com/uploads/products/F5297CBB79DBE97D983733D7944DBD3A.pdf" TargetMode="External"/><Relationship Id="rId478" Type="http://schemas.openxmlformats.org/officeDocument/2006/relationships/hyperlink" Target="https://ekfgroup.com/catalog/products/salnik-pg9-ip54-20-sht-d-otv-15-mm-d-provod-4-8-mm-ekf-proxima" TargetMode="External"/><Relationship Id="rId35" Type="http://schemas.openxmlformats.org/officeDocument/2006/relationships/hyperlink" Target="https://ekfgroup.com/catalog/products/panel-zadnyaya-dlya-shkafov-2200-x-600-ekf-alesta" TargetMode="External"/><Relationship Id="rId77" Type="http://schemas.openxmlformats.org/officeDocument/2006/relationships/hyperlink" Target="https://ekfgroup.com/catalog/products/plastron-v100-sh300-ekf-alesta" TargetMode="External"/><Relationship Id="rId100" Type="http://schemas.openxmlformats.org/officeDocument/2006/relationships/hyperlink" Target="https://ekfgroup.com/catalog/products/paneli-bokovye-dlya-sekcionirovaniya-v600-g800-mm-2-sht-ekf-alesta" TargetMode="External"/><Relationship Id="rId282" Type="http://schemas.openxmlformats.org/officeDocument/2006/relationships/hyperlink" Target="https://ekfgroup.com/catalog/products/shina-ad-31t-4-30-4000-mm-ekf-proxima" TargetMode="External"/><Relationship Id="rId338" Type="http://schemas.openxmlformats.org/officeDocument/2006/relationships/hyperlink" Target="https://ekfgroup.com/uploads/products/022C116FAFAB3B8FF28801792CA70B61.pdf" TargetMode="External"/><Relationship Id="rId503" Type="http://schemas.openxmlformats.org/officeDocument/2006/relationships/hyperlink" Target="https://ekfgroup.com/uploads/products/F5297CBB79DBE97D983733D7944DBD3A.pdf" TargetMode="External"/><Relationship Id="rId545" Type="http://schemas.openxmlformats.org/officeDocument/2006/relationships/hyperlink" Target="https://ekfgroup.com/uploads/products/022C116FAFAB3B8FF28801792CA70B61.pdf" TargetMode="External"/><Relationship Id="rId587" Type="http://schemas.openxmlformats.org/officeDocument/2006/relationships/hyperlink" Target="https://ekfgroup.com/uploads/products/022C116FAFAB3B8FF28801792CA70B61.pdf" TargetMode="External"/><Relationship Id="rId8" Type="http://schemas.openxmlformats.org/officeDocument/2006/relationships/hyperlink" Target="https://ekfgroup.com/catalog/products/komplekt-krysha-i-osnovanie-600x600-ekf-alesta" TargetMode="External"/><Relationship Id="rId142" Type="http://schemas.openxmlformats.org/officeDocument/2006/relationships/hyperlink" Target="https://ekfgroup.com/uploads/products/F5297CBB79DBE97D983733D7944DBD3A.pdf" TargetMode="External"/><Relationship Id="rId184" Type="http://schemas.openxmlformats.org/officeDocument/2006/relationships/hyperlink" Target="https://ekfgroup.com/uploads/products/F5297CBB79DBE97D983733D7944DBD3A.pdf" TargetMode="External"/><Relationship Id="rId391" Type="http://schemas.openxmlformats.org/officeDocument/2006/relationships/hyperlink" Target="https://ekfgroup.com/uploads/products/A07B8143B3B397F72FDEEB31E4B9568B.pdf" TargetMode="External"/><Relationship Id="rId405" Type="http://schemas.openxmlformats.org/officeDocument/2006/relationships/hyperlink" Target="https://ekfgroup.com/uploads/products/A07B8143B3B397F72FDEEB31E4B9568B.pdf" TargetMode="External"/><Relationship Id="rId447" Type="http://schemas.openxmlformats.org/officeDocument/2006/relationships/hyperlink" Target="https://ekfgroup.com/catalog/products/lenta-spiralnaya-montazhnaya-swb-15-d15mm-d12mm-10m-ekf-proxima" TargetMode="External"/><Relationship Id="rId612" Type="http://schemas.openxmlformats.org/officeDocument/2006/relationships/hyperlink" Target="https://ekfgroup.com/catalog/products/zaglushka-12-modulej-seraya-ekf-proxima" TargetMode="External"/><Relationship Id="rId251" Type="http://schemas.openxmlformats.org/officeDocument/2006/relationships/hyperlink" Target="https://ekfgroup.com/uploads/products/F5297CBB79DBE97D983733D7944DBD3A.pdf" TargetMode="External"/><Relationship Id="rId489" Type="http://schemas.openxmlformats.org/officeDocument/2006/relationships/hyperlink" Target="https://ekfgroup.com/catalog/products/salnik-metallicheskij-mgm25-ip68-d-provodnika-10-14-mm-proxima" TargetMode="External"/><Relationship Id="rId654" Type="http://schemas.openxmlformats.org/officeDocument/2006/relationships/hyperlink" Target="https://ekfgroup.com/catalog/products/birka-kabelnaya-markirovochnaya-u-135-100sht-krug-ekf-proxima" TargetMode="External"/><Relationship Id="rId46" Type="http://schemas.openxmlformats.org/officeDocument/2006/relationships/hyperlink" Target="https://ekfgroup.com/catalog/products/dver-sploshnaya-dlya-shkafov-v-sh-2200-400-ekf-alesta" TargetMode="External"/><Relationship Id="rId293" Type="http://schemas.openxmlformats.org/officeDocument/2006/relationships/hyperlink" Target="https://ekfgroup.com/uploads/products/022C116FAFAB3B8FF28801792CA70B61.pdf" TargetMode="External"/><Relationship Id="rId307" Type="http://schemas.openxmlformats.org/officeDocument/2006/relationships/hyperlink" Target="https://ekfgroup.com/catalog/products/terminal-dlya-provodnikov-universalnyj-35-70-mm2-na-shinu-10mm-ekf-proxima" TargetMode="External"/><Relationship Id="rId349" Type="http://schemas.openxmlformats.org/officeDocument/2006/relationships/hyperlink" Target="https://ekfgroup.com/catalog/products/ventilyator-s-filtrom-850-m-ch-280x280-mm-ip54-ekf-proxima" TargetMode="External"/><Relationship Id="rId514" Type="http://schemas.openxmlformats.org/officeDocument/2006/relationships/hyperlink" Target="https://ekfgroup.com/uploads/products/E32A76570050D1673D59ECC83E92A0E6.pdf" TargetMode="External"/><Relationship Id="rId556" Type="http://schemas.openxmlformats.org/officeDocument/2006/relationships/hyperlink" Target="https://ekfgroup.com/catalog/products/naklejka-36v-10-15mm-ekf-proxima" TargetMode="External"/><Relationship Id="rId88" Type="http://schemas.openxmlformats.org/officeDocument/2006/relationships/hyperlink" Target="https://ekfgroup.com/catalog/products/plastron-v600-sh300-ekf-alesta" TargetMode="External"/><Relationship Id="rId111" Type="http://schemas.openxmlformats.org/officeDocument/2006/relationships/hyperlink" Target="https://ekfgroup.com/catalog/products/panel-gorizontalnaya-dlya-sekcionirovaniya-sh400-g600-mm-ekf-alesta" TargetMode="External"/><Relationship Id="rId153" Type="http://schemas.openxmlformats.org/officeDocument/2006/relationships/hyperlink" Target="https://ekfgroup.com/uploads/products/F5297CBB79DBE97D983733D7944DBD3A.pdf" TargetMode="External"/><Relationship Id="rId195" Type="http://schemas.openxmlformats.org/officeDocument/2006/relationships/hyperlink" Target="https://ekfgroup.com/uploads/products/F5297CBB79DBE97D983733D7944DBD3A.pdf" TargetMode="External"/><Relationship Id="rId209" Type="http://schemas.openxmlformats.org/officeDocument/2006/relationships/hyperlink" Target="https://ekfgroup.com/uploads/products/F5297CBB79DBE97D983733D7944DBD3A.pdf" TargetMode="External"/><Relationship Id="rId360" Type="http://schemas.openxmlformats.org/officeDocument/2006/relationships/hyperlink" Target="https://ekfgroup.com/catalog/products/obogrevatel-na-din-rejku-150vt-230v-ip20-ekf-proxima" TargetMode="External"/><Relationship Id="rId416" Type="http://schemas.openxmlformats.org/officeDocument/2006/relationships/hyperlink" Target="https://ekfgroup.com/catalog/products/svetilnik-svetodiodnyj-shhitovoj-220v-5vt-magnit-ekf-proxima" TargetMode="External"/><Relationship Id="rId598" Type="http://schemas.openxmlformats.org/officeDocument/2006/relationships/hyperlink" Target="https://ekfgroup.com/uploads/products/022C116FAFAB3B8FF28801792CA70B61.pdf" TargetMode="External"/><Relationship Id="rId220" Type="http://schemas.openxmlformats.org/officeDocument/2006/relationships/hyperlink" Target="https://ekfgroup.com/uploads/products/F5297CBB79DBE97D983733D7944DBD3A.pdf" TargetMode="External"/><Relationship Id="rId458" Type="http://schemas.openxmlformats.org/officeDocument/2006/relationships/hyperlink" Target="https://ekfgroup.com/catalog/products/kabelnaya-opletka-iz-poliamida-12-20-mm-100-m-ekf-proxima" TargetMode="External"/><Relationship Id="rId623" Type="http://schemas.openxmlformats.org/officeDocument/2006/relationships/hyperlink" Target="https://ekfgroup.com/catalog/products/okno-germetichnoe-10-modulej-ip67-proxima" TargetMode="External"/><Relationship Id="rId665" Type="http://schemas.openxmlformats.org/officeDocument/2006/relationships/hyperlink" Target="https://ekfgroup.com/uploads/products/E32A76570050D1673D59ECC83E92A0E6.pdf" TargetMode="External"/><Relationship Id="rId15" Type="http://schemas.openxmlformats.org/officeDocument/2006/relationships/hyperlink" Target="https://ekfgroup.com/catalog/products/stojki-vertikalnye-v-2200mm-4sht-ekf-alesta" TargetMode="External"/><Relationship Id="rId57" Type="http://schemas.openxmlformats.org/officeDocument/2006/relationships/hyperlink" Target="https://ekfgroup.com/catalog/products/montazhnaya-panel-v2000-sh600-glu-aya-ekf-alesta" TargetMode="External"/><Relationship Id="rId262" Type="http://schemas.openxmlformats.org/officeDocument/2006/relationships/hyperlink" Target="https://ekfgroup.com/uploads/products/F5297CBB79DBE97D983733D7944DBD3A.pdf" TargetMode="External"/><Relationship Id="rId318" Type="http://schemas.openxmlformats.org/officeDocument/2006/relationships/hyperlink" Target="https://ekfgroup.com/uploads/products/A4B776318F4385D5D212DF821579F9E4.pdf" TargetMode="External"/><Relationship Id="rId525" Type="http://schemas.openxmlformats.org/officeDocument/2006/relationships/hyperlink" Target="https://ekfgroup.com/uploads/products/E32A76570050D1673D59ECC83E92A0E6.pdf" TargetMode="External"/><Relationship Id="rId567" Type="http://schemas.openxmlformats.org/officeDocument/2006/relationships/hyperlink" Target="https://ekfgroup.com/catalog/products/naklejka-n-d-20mm-ekf-proxima" TargetMode="External"/><Relationship Id="rId99" Type="http://schemas.openxmlformats.org/officeDocument/2006/relationships/hyperlink" Target="https://ekfgroup.com/catalog/products/paneli-bokovye-dlya-sekcionirovaniya-v600-g600-mm-2-sht-ekf-alesta" TargetMode="External"/><Relationship Id="rId122" Type="http://schemas.openxmlformats.org/officeDocument/2006/relationships/hyperlink" Target="https://ekfgroup.com/catalog/products/peregorodki-dlya-sborki-gorizontalny-shin-sh400-g400-ekf-alesta" TargetMode="External"/><Relationship Id="rId164" Type="http://schemas.openxmlformats.org/officeDocument/2006/relationships/hyperlink" Target="https://ekfgroup.com/uploads/products/F5297CBB79DBE97D983733D7944DBD3A.pdf" TargetMode="External"/><Relationship Id="rId371" Type="http://schemas.openxmlformats.org/officeDocument/2006/relationships/hyperlink" Target="https://ekfgroup.com/catalog/products/obogrevatel-na-din-rejku-s-ventilyatorom-100vt-230v-ip20-quadro-ekf-proxima" TargetMode="External"/><Relationship Id="rId427" Type="http://schemas.openxmlformats.org/officeDocument/2006/relationships/hyperlink" Target="https://ekfgroup.com/catalog/products/ploshhadka-samokleyashhayasya-20-20mm-belaya-100sht-ekf-proxima" TargetMode="External"/><Relationship Id="rId469" Type="http://schemas.openxmlformats.org/officeDocument/2006/relationships/hyperlink" Target="https://ekfgroup.com/catalog/products/salnik-pg16-ip54-20-sht-d-otv-21-mm-d-provod-10-14-mm-ekf-proxima" TargetMode="External"/><Relationship Id="rId634" Type="http://schemas.openxmlformats.org/officeDocument/2006/relationships/hyperlink" Target="https://ekfgroup.com/uploads/products/022C116FAFAB3B8FF28801792CA70B61.pdf" TargetMode="External"/><Relationship Id="rId26" Type="http://schemas.openxmlformats.org/officeDocument/2006/relationships/hyperlink" Target="https://ekfgroup.com/catalog/products/panel-zadnyaya-dlya-shkafov-1800-x-400-ekf-alesta" TargetMode="External"/><Relationship Id="rId231" Type="http://schemas.openxmlformats.org/officeDocument/2006/relationships/hyperlink" Target="https://ekfgroup.com/uploads/products/F5297CBB79DBE97D983733D7944DBD3A.pdf" TargetMode="External"/><Relationship Id="rId273" Type="http://schemas.openxmlformats.org/officeDocument/2006/relationships/hyperlink" Target="https://ekfgroup.com/catalog/products/shina-m1t-10-100-4000-mm-ekf-proxima" TargetMode="External"/><Relationship Id="rId329" Type="http://schemas.openxmlformats.org/officeDocument/2006/relationships/hyperlink" Target="https://ekfgroup.com/catalog/products/din-rejka-usilennaya-1-5-mm-perforirovannaya-35-15-2000-mm-ekf-proxima" TargetMode="External"/><Relationship Id="rId480" Type="http://schemas.openxmlformats.org/officeDocument/2006/relationships/hyperlink" Target="https://ekfgroup.com/catalog/products/salnik-d-25mm-dotv-boksa-28mm-ekf-proxima" TargetMode="External"/><Relationship Id="rId536" Type="http://schemas.openxmlformats.org/officeDocument/2006/relationships/hyperlink" Target="https://ekfgroup.com/uploads/products/022C116FAFAB3B8FF28801792CA70B61.pdf" TargetMode="External"/><Relationship Id="rId68" Type="http://schemas.openxmlformats.org/officeDocument/2006/relationships/hyperlink" Target="https://ekfgroup.com/catalog/products/montazhnaya-panel-v900-sh400-glu-aya-ekf-alesta" TargetMode="External"/><Relationship Id="rId133" Type="http://schemas.openxmlformats.org/officeDocument/2006/relationships/hyperlink" Target="https://ekfgroup.com/catalog/products/komplekt-panelej-cokolya-alesta-sh_g-600-mm-v-100mm-1-kmp-2-sht-ekf-alesta" TargetMode="External"/><Relationship Id="rId175" Type="http://schemas.openxmlformats.org/officeDocument/2006/relationships/hyperlink" Target="https://ekfgroup.com/uploads/products/F5297CBB79DBE97D983733D7944DBD3A.pdf" TargetMode="External"/><Relationship Id="rId340" Type="http://schemas.openxmlformats.org/officeDocument/2006/relationships/hyperlink" Target="https://ekfgroup.com/uploads/products/022C116FAFAB3B8FF28801792CA70B61.pdf" TargetMode="External"/><Relationship Id="rId578" Type="http://schemas.openxmlformats.org/officeDocument/2006/relationships/hyperlink" Target="https://ekfgroup.com/uploads/products/022C116FAFAB3B8FF28801792CA70B61.pdf" TargetMode="External"/><Relationship Id="rId200" Type="http://schemas.openxmlformats.org/officeDocument/2006/relationships/hyperlink" Target="https://ekfgroup.com/uploads/products/F5297CBB79DBE97D983733D7944DBD3A.pdf" TargetMode="External"/><Relationship Id="rId382" Type="http://schemas.openxmlformats.org/officeDocument/2006/relationships/hyperlink" Target="https://ekfgroup.com/uploads/products/A950CF50AFA158C8BB937B9C71B7F9B7.pdf" TargetMode="External"/><Relationship Id="rId438" Type="http://schemas.openxmlformats.org/officeDocument/2006/relationships/hyperlink" Target="https://ekfgroup.com/uploads/products/E32A76570050D1673D59ECC83E92A0E6.pdf" TargetMode="External"/><Relationship Id="rId603" Type="http://schemas.openxmlformats.org/officeDocument/2006/relationships/hyperlink" Target="https://ekfgroup.com/catalog/products/naklejka-molniya-85-85-85mm-ekf-proxima" TargetMode="External"/><Relationship Id="rId645" Type="http://schemas.openxmlformats.org/officeDocument/2006/relationships/hyperlink" Target="https://ekfgroup.com/catalog/products/steklo-dlya-elektroshhitov-ekf-proxima" TargetMode="External"/><Relationship Id="rId242" Type="http://schemas.openxmlformats.org/officeDocument/2006/relationships/hyperlink" Target="https://ekfgroup.com/uploads/products/F5297CBB79DBE97D983733D7944DBD3A.pdf" TargetMode="External"/><Relationship Id="rId284" Type="http://schemas.openxmlformats.org/officeDocument/2006/relationships/hyperlink" Target="https://ekfgroup.com/catalog/products/shina-ad-31t-8-100-4000-mm-ekf-proxima" TargetMode="External"/><Relationship Id="rId491" Type="http://schemas.openxmlformats.org/officeDocument/2006/relationships/hyperlink" Target="https://ekfgroup.com/catalog/products/salnik-metallicheskij-mgm30-ip68-d-provodnika-13-18-mm-proxima" TargetMode="External"/><Relationship Id="rId505" Type="http://schemas.openxmlformats.org/officeDocument/2006/relationships/hyperlink" Target="https://ekfgroup.com/uploads/products/F5297CBB79DBE97D983733D7944DBD3A.pdf" TargetMode="External"/><Relationship Id="rId37" Type="http://schemas.openxmlformats.org/officeDocument/2006/relationships/hyperlink" Target="https://ekfgroup.com/catalog/products/dver-sploshnaya-dlya-shkafov-v-sh-1800-300-ekf-alesta" TargetMode="External"/><Relationship Id="rId79" Type="http://schemas.openxmlformats.org/officeDocument/2006/relationships/hyperlink" Target="https://ekfgroup.com/catalog/products/plastron-v100-sh600-ekf-alesta" TargetMode="External"/><Relationship Id="rId102" Type="http://schemas.openxmlformats.org/officeDocument/2006/relationships/hyperlink" Target="https://ekfgroup.com/catalog/products/panel-vertikalnaya-dlya-sekcionirovaniya-v1800-g600-mm-ekf-alesta" TargetMode="External"/><Relationship Id="rId144" Type="http://schemas.openxmlformats.org/officeDocument/2006/relationships/hyperlink" Target="https://ekfgroup.com/uploads/products/F5297CBB79DBE97D983733D7944DBD3A.pdf" TargetMode="External"/><Relationship Id="rId547" Type="http://schemas.openxmlformats.org/officeDocument/2006/relationships/hyperlink" Target="https://ekfgroup.com/uploads/products/022C116FAFAB3B8FF28801792CA70B61.pdf" TargetMode="External"/><Relationship Id="rId589" Type="http://schemas.openxmlformats.org/officeDocument/2006/relationships/hyperlink" Target="https://ekfgroup.com/catalog/products/naklejka-zemlya-d20mm-ekf-proxima" TargetMode="External"/><Relationship Id="rId90" Type="http://schemas.openxmlformats.org/officeDocument/2006/relationships/hyperlink" Target="https://ekfgroup.com/catalog/products/plastron-v600-sh600-ekf-alesta" TargetMode="External"/><Relationship Id="rId186" Type="http://schemas.openxmlformats.org/officeDocument/2006/relationships/hyperlink" Target="https://ekfgroup.com/uploads/products/F5297CBB79DBE97D983733D7944DBD3A.pdf" TargetMode="External"/><Relationship Id="rId351" Type="http://schemas.openxmlformats.org/officeDocument/2006/relationships/hyperlink" Target="https://ekfgroup.com/catalog/products/ventilyacionnaya-reshetka-s-filtrom-176x176-mm-ip54-ekf-proxima" TargetMode="External"/><Relationship Id="rId393" Type="http://schemas.openxmlformats.org/officeDocument/2006/relationships/hyperlink" Target="https://ekfgroup.com/uploads/products/A07B8143B3B397F72FDEEB31E4B9568B.pdf" TargetMode="External"/><Relationship Id="rId407" Type="http://schemas.openxmlformats.org/officeDocument/2006/relationships/hyperlink" Target="https://ekfgroup.com/uploads/products/A07B8143B3B397F72FDEEB31E4B9568B.pdf" TargetMode="External"/><Relationship Id="rId449" Type="http://schemas.openxmlformats.org/officeDocument/2006/relationships/hyperlink" Target="https://ekfgroup.com/catalog/products/lenta-spiralnaya-montazhnaya-swb-24-d24mm-d21mm-10m-ekf-proxima" TargetMode="External"/><Relationship Id="rId614" Type="http://schemas.openxmlformats.org/officeDocument/2006/relationships/hyperlink" Target="https://ekfgroup.com/uploads/products/022C116FAFAB3B8FF28801792CA70B61.pdf" TargetMode="External"/><Relationship Id="rId656" Type="http://schemas.openxmlformats.org/officeDocument/2006/relationships/hyperlink" Target="https://ekfgroup.com/catalog/products/birka-kabelnaya-markirovochnaya-u-153-250sht-malyj-kvadrat-ekf-proxima" TargetMode="External"/><Relationship Id="rId211" Type="http://schemas.openxmlformats.org/officeDocument/2006/relationships/hyperlink" Target="https://ekfgroup.com/uploads/products/F5297CBB79DBE97D983733D7944DBD3A.pdf" TargetMode="External"/><Relationship Id="rId253" Type="http://schemas.openxmlformats.org/officeDocument/2006/relationships/hyperlink" Target="https://ekfgroup.com/uploads/products/F5297CBB79DBE97D983733D7944DBD3A.pdf" TargetMode="External"/><Relationship Id="rId295" Type="http://schemas.openxmlformats.org/officeDocument/2006/relationships/hyperlink" Target="https://ekfgroup.com/uploads/products/022C116FAFAB3B8FF28801792CA70B61.pdf" TargetMode="External"/><Relationship Id="rId309" Type="http://schemas.openxmlformats.org/officeDocument/2006/relationships/hyperlink" Target="https://ekfgroup.com/catalog/products/terminal-dlya-provodnikov-universalnyj-70-185-mm2-na-shinu-10mm-ekf-proxima" TargetMode="External"/><Relationship Id="rId460" Type="http://schemas.openxmlformats.org/officeDocument/2006/relationships/hyperlink" Target="https://ekfgroup.com/catalog/products/kabelnaya-opletka-iz-poliamida-20-32-mm-50-m-ekf-proxima" TargetMode="External"/><Relationship Id="rId516" Type="http://schemas.openxmlformats.org/officeDocument/2006/relationships/hyperlink" Target="https://ekfgroup.com/uploads/products/E32A76570050D1673D59ECC83E92A0E6.pdf" TargetMode="External"/><Relationship Id="rId48" Type="http://schemas.openxmlformats.org/officeDocument/2006/relationships/hyperlink" Target="https://ekfgroup.com/catalog/products/dver-sploshnaya-dlya-shkafov-v-sh-2200-800-ekf-alesta" TargetMode="External"/><Relationship Id="rId113" Type="http://schemas.openxmlformats.org/officeDocument/2006/relationships/hyperlink" Target="https://ekfgroup.com/catalog/products/panel-gorizontalnaya-dlya-sekcionirovaniya-sh600-g400-mm-ekf-alesta" TargetMode="External"/><Relationship Id="rId320" Type="http://schemas.openxmlformats.org/officeDocument/2006/relationships/hyperlink" Target="https://ekfgroup.com/uploads/products/A4B776318F4385D5D212DF821579F9E4.pdf" TargetMode="External"/><Relationship Id="rId558" Type="http://schemas.openxmlformats.org/officeDocument/2006/relationships/hyperlink" Target="https://ekfgroup.com/catalog/products/naklejka-380v-20-40mm-ekf-proxima" TargetMode="External"/><Relationship Id="rId155" Type="http://schemas.openxmlformats.org/officeDocument/2006/relationships/hyperlink" Target="https://ekfgroup.com/uploads/products/F5297CBB79DBE97D983733D7944DBD3A.pdf" TargetMode="External"/><Relationship Id="rId197" Type="http://schemas.openxmlformats.org/officeDocument/2006/relationships/hyperlink" Target="https://ekfgroup.com/uploads/products/F5297CBB79DBE97D983733D7944DBD3A.pdf" TargetMode="External"/><Relationship Id="rId362" Type="http://schemas.openxmlformats.org/officeDocument/2006/relationships/hyperlink" Target="https://ekfgroup.com/catalog/products/obogrevatel-na-din-rejku-30vt-230v-ip20-ekf-proxima" TargetMode="External"/><Relationship Id="rId418" Type="http://schemas.openxmlformats.org/officeDocument/2006/relationships/hyperlink" Target="https://ekfgroup.com/uploads/products/7183C124707A27C911DC1C6E8EBC1B5B.pdf" TargetMode="External"/><Relationship Id="rId625" Type="http://schemas.openxmlformats.org/officeDocument/2006/relationships/hyperlink" Target="https://ekfgroup.com/catalog/products/okno-germetichnoe-13-modulej-ip67-proxima" TargetMode="External"/><Relationship Id="rId222" Type="http://schemas.openxmlformats.org/officeDocument/2006/relationships/hyperlink" Target="https://ekfgroup.com/uploads/products/F5297CBB79DBE97D983733D7944DBD3A.pdf" TargetMode="External"/><Relationship Id="rId264" Type="http://schemas.openxmlformats.org/officeDocument/2006/relationships/hyperlink" Target="https://ekfgroup.com/uploads/products/F5297CBB79DBE97D983733D7944DBD3A.pdf" TargetMode="External"/><Relationship Id="rId471" Type="http://schemas.openxmlformats.org/officeDocument/2006/relationships/hyperlink" Target="https://ekfgroup.com/catalog/products/salnik-pg21-ip54-20-sht-d-otv-27-mm-d-provod-13-18-mm-ekf-proxima" TargetMode="External"/><Relationship Id="rId667" Type="http://schemas.openxmlformats.org/officeDocument/2006/relationships/printerSettings" Target="../printerSettings/printerSettings2.bin"/><Relationship Id="rId17" Type="http://schemas.openxmlformats.org/officeDocument/2006/relationships/hyperlink" Target="https://ekfgroup.com/catalog/products/bokovye-paneli-1800x600-2-sht-ekf-alesta" TargetMode="External"/><Relationship Id="rId59" Type="http://schemas.openxmlformats.org/officeDocument/2006/relationships/hyperlink" Target="https://ekfgroup.com/catalog/products/montazhnaya-panel-v2200-sh400-glu-aya-ekf-alesta" TargetMode="External"/><Relationship Id="rId124" Type="http://schemas.openxmlformats.org/officeDocument/2006/relationships/hyperlink" Target="https://ekfgroup.com/catalog/products/peregorodki-dlya-sborki-gorizontalny-shin-sh400-g800-ekf-alesta" TargetMode="External"/><Relationship Id="rId527" Type="http://schemas.openxmlformats.org/officeDocument/2006/relationships/hyperlink" Target="https://ekfgroup.com/uploads/products/E32A76570050D1673D59ECC83E92A0E6.pdf" TargetMode="External"/><Relationship Id="rId569" Type="http://schemas.openxmlformats.org/officeDocument/2006/relationships/hyperlink" Target="https://ekfgroup.com/catalog/products/naklejka-pe-d-20mm-ekf-proxima" TargetMode="External"/><Relationship Id="rId70" Type="http://schemas.openxmlformats.org/officeDocument/2006/relationships/hyperlink" Target="https://ekfgroup.com/catalog/products/montazhnaya-panel-v900-sh800-glu-aya-ekf-alesta" TargetMode="External"/><Relationship Id="rId166" Type="http://schemas.openxmlformats.org/officeDocument/2006/relationships/hyperlink" Target="https://ekfgroup.com/uploads/products/F5297CBB79DBE97D983733D7944DBD3A.pdf" TargetMode="External"/><Relationship Id="rId331" Type="http://schemas.openxmlformats.org/officeDocument/2006/relationships/hyperlink" Target="https://ekfgroup.com/uploads/products/022C116FAFAB3B8FF28801792CA70B61.pdf" TargetMode="External"/><Relationship Id="rId373" Type="http://schemas.openxmlformats.org/officeDocument/2006/relationships/hyperlink" Target="https://ekfgroup.com/catalog/products/termostat-nc-obogrev-na-din-rejku-10a-230v-ip20-ekf-proxima" TargetMode="External"/><Relationship Id="rId429" Type="http://schemas.openxmlformats.org/officeDocument/2006/relationships/hyperlink" Target="https://ekfgroup.com/catalog/products/ploshhadka-samokleyashhayasya-25-25mm-belaya-100sht-ekf-proxima" TargetMode="External"/><Relationship Id="rId580" Type="http://schemas.openxmlformats.org/officeDocument/2006/relationships/hyperlink" Target="https://ekfgroup.com/uploads/products/022C116FAFAB3B8FF28801792CA70B61.pdf" TargetMode="External"/><Relationship Id="rId636" Type="http://schemas.openxmlformats.org/officeDocument/2006/relationships/hyperlink" Target="https://ekfgroup.com/uploads/products/022C116FAFAB3B8FF28801792CA70B61.pdf" TargetMode="External"/><Relationship Id="rId1" Type="http://schemas.openxmlformats.org/officeDocument/2006/relationships/hyperlink" Target="https://ekfgroup.com/catalog/products/komplekt-krysha-i-ocnovanie-300x400-ekf-alesta" TargetMode="External"/><Relationship Id="rId233" Type="http://schemas.openxmlformats.org/officeDocument/2006/relationships/hyperlink" Target="https://ekfgroup.com/uploads/products/F5297CBB79DBE97D983733D7944DBD3A.pdf" TargetMode="External"/><Relationship Id="rId440" Type="http://schemas.openxmlformats.org/officeDocument/2006/relationships/hyperlink" Target="https://ekfgroup.com/uploads/products/E32A76570050D1673D59ECC83E92A0E6.pdf" TargetMode="External"/><Relationship Id="rId28" Type="http://schemas.openxmlformats.org/officeDocument/2006/relationships/hyperlink" Target="https://ekfgroup.com/catalog/products/panel-zadnyaya-dlya-shkafov-1800-x-800-ekf-alesta" TargetMode="External"/><Relationship Id="rId275" Type="http://schemas.openxmlformats.org/officeDocument/2006/relationships/hyperlink" Target="https://ekfgroup.com/catalog/products/shina-m1t-10-60-4000-mm-ekf-proxima" TargetMode="External"/><Relationship Id="rId300" Type="http://schemas.openxmlformats.org/officeDocument/2006/relationships/hyperlink" Target="https://ekfgroup.com/uploads/products/022C116FAFAB3B8FF28801792CA70B61.pdf" TargetMode="External"/><Relationship Id="rId482" Type="http://schemas.openxmlformats.org/officeDocument/2006/relationships/hyperlink" Target="https://ekfgroup.com/catalog/products/salnik-d-32mm-dotv-boksa-37mm-ekf-proxima" TargetMode="External"/><Relationship Id="rId538" Type="http://schemas.openxmlformats.org/officeDocument/2006/relationships/hyperlink" Target="https://ekfgroup.com/catalog/products/znak-plastik-ne-vklyuchat-rabotayut-lyudi-s02-100-200mm-ekf-proxima" TargetMode="External"/><Relationship Id="rId81" Type="http://schemas.openxmlformats.org/officeDocument/2006/relationships/hyperlink" Target="https://ekfgroup.com/catalog/products/plastron-v1800-sh300-ekf-alesta" TargetMode="External"/><Relationship Id="rId135" Type="http://schemas.openxmlformats.org/officeDocument/2006/relationships/hyperlink" Target="https://ekfgroup.com/catalog/products/komplekt-uglovy-elementov-cokolya-v-100-mm-1-kmp-4-sht-ekf-alesta" TargetMode="External"/><Relationship Id="rId177" Type="http://schemas.openxmlformats.org/officeDocument/2006/relationships/hyperlink" Target="https://ekfgroup.com/uploads/products/F5297CBB79DBE97D983733D7944DBD3A.pdf" TargetMode="External"/><Relationship Id="rId342" Type="http://schemas.openxmlformats.org/officeDocument/2006/relationships/hyperlink" Target="https://ekfgroup.com/uploads/products/F5297CBB79DBE97D983733D7944DBD3A.pdf" TargetMode="External"/><Relationship Id="rId384" Type="http://schemas.openxmlformats.org/officeDocument/2006/relationships/hyperlink" Target="https://ekfgroup.com/uploads/products/A950CF50AFA158C8BB937B9C71B7F9B7.pdf" TargetMode="External"/><Relationship Id="rId591" Type="http://schemas.openxmlformats.org/officeDocument/2006/relationships/hyperlink" Target="https://ekfgroup.com/catalog/products/naklejka-zemlya-d30mm-ekf-proxima" TargetMode="External"/><Relationship Id="rId605" Type="http://schemas.openxmlformats.org/officeDocument/2006/relationships/hyperlink" Target="https://ekfgroup.com/catalog/products/komplekt-modulny-nakleek-bolshoj-164-299-ekf-proxima" TargetMode="External"/><Relationship Id="rId202" Type="http://schemas.openxmlformats.org/officeDocument/2006/relationships/hyperlink" Target="https://ekfgroup.com/uploads/products/F5297CBB79DBE97D983733D7944DBD3A.pdf" TargetMode="External"/><Relationship Id="rId244" Type="http://schemas.openxmlformats.org/officeDocument/2006/relationships/hyperlink" Target="https://ekfgroup.com/uploads/products/F5297CBB79DBE97D983733D7944DBD3A.pdf" TargetMode="External"/><Relationship Id="rId647" Type="http://schemas.openxmlformats.org/officeDocument/2006/relationships/hyperlink" Target="https://ekfgroup.com/uploads/products/022C116FAFAB3B8FF28801792CA70B61.pdf" TargetMode="External"/><Relationship Id="rId39" Type="http://schemas.openxmlformats.org/officeDocument/2006/relationships/hyperlink" Target="https://ekfgroup.com/catalog/products/dver-sploshnaya-dlya-shkafov-v-sh-1800-600-ekf-alesta" TargetMode="External"/><Relationship Id="rId286" Type="http://schemas.openxmlformats.org/officeDocument/2006/relationships/hyperlink" Target="https://ekfgroup.com/catalog/products/shina-ad-31t-8-80-4000-mm-ekf-proxima" TargetMode="External"/><Relationship Id="rId451" Type="http://schemas.openxmlformats.org/officeDocument/2006/relationships/hyperlink" Target="https://ekfgroup.com/uploads/products/E32A76570050D1673D59ECC83E92A0E6.pdf" TargetMode="External"/><Relationship Id="rId493" Type="http://schemas.openxmlformats.org/officeDocument/2006/relationships/hyperlink" Target="https://ekfgroup.com/catalog/products/salnik-metallicheskij-mgm40-ip68-d-provodnika-22-28-mm-proxima" TargetMode="External"/><Relationship Id="rId507" Type="http://schemas.openxmlformats.org/officeDocument/2006/relationships/hyperlink" Target="https://ekfgroup.com/uploads/products/E32A76570050D1673D59ECC83E92A0E6.pdf" TargetMode="External"/><Relationship Id="rId549" Type="http://schemas.openxmlformats.org/officeDocument/2006/relationships/hyperlink" Target="https://ekfgroup.com/catalog/products/znak-plastik-stoj-napryazhenie-s06-150-300mm-ekf-proxima" TargetMode="External"/><Relationship Id="rId50" Type="http://schemas.openxmlformats.org/officeDocument/2006/relationships/hyperlink" Target="https://ekfgroup.com/catalog/products/rejka-montazhnaya-perforirovannaya-d600-2-sht-ekf-alesta" TargetMode="External"/><Relationship Id="rId104" Type="http://schemas.openxmlformats.org/officeDocument/2006/relationships/hyperlink" Target="https://ekfgroup.com/catalog/products/panel-vertikalnya-dlya-sekcionirovaniya-v2000-g400-mm-ekf-alesta" TargetMode="External"/><Relationship Id="rId146" Type="http://schemas.openxmlformats.org/officeDocument/2006/relationships/hyperlink" Target="https://ekfgroup.com/uploads/products/F5297CBB79DBE97D983733D7944DBD3A.pdf" TargetMode="External"/><Relationship Id="rId188" Type="http://schemas.openxmlformats.org/officeDocument/2006/relationships/hyperlink" Target="https://ekfgroup.com/uploads/products/F5297CBB79DBE97D983733D7944DBD3A.pdf" TargetMode="External"/><Relationship Id="rId311" Type="http://schemas.openxmlformats.org/officeDocument/2006/relationships/hyperlink" Target="https://ekfgroup.com/uploads/products/A4B776318F4385D5D212DF821579F9E4.pdf" TargetMode="External"/><Relationship Id="rId353" Type="http://schemas.openxmlformats.org/officeDocument/2006/relationships/hyperlink" Target="https://ekfgroup.com/catalog/products/ventilyacionnaya-reshetka-s-filtrom-291x291-mm-ip54-ekf-proxima" TargetMode="External"/><Relationship Id="rId395" Type="http://schemas.openxmlformats.org/officeDocument/2006/relationships/hyperlink" Target="https://ekfgroup.com/uploads/products/A07B8143B3B397F72FDEEB31E4B9568B.pdf" TargetMode="External"/><Relationship Id="rId409" Type="http://schemas.openxmlformats.org/officeDocument/2006/relationships/hyperlink" Target="https://ekfgroup.com/uploads/products/73E2239D520EF881F474747E7EE01508.pdf" TargetMode="External"/><Relationship Id="rId560" Type="http://schemas.openxmlformats.org/officeDocument/2006/relationships/hyperlink" Target="https://ekfgroup.com/catalog/products/naklejka-a-d-20mm-ekf-proxima" TargetMode="External"/><Relationship Id="rId92" Type="http://schemas.openxmlformats.org/officeDocument/2006/relationships/hyperlink" Target="https://ekfgroup.com/catalog/products/plastron-s-vyrezom-dlya-modulny-ustrojstv-v200-sh400-mm-ekf-alesta" TargetMode="External"/><Relationship Id="rId213" Type="http://schemas.openxmlformats.org/officeDocument/2006/relationships/hyperlink" Target="https://ekfgroup.com/uploads/products/F5297CBB79DBE97D983733D7944DBD3A.pdf" TargetMode="External"/><Relationship Id="rId420" Type="http://schemas.openxmlformats.org/officeDocument/2006/relationships/hyperlink" Target="https://ekfgroup.com/uploads/products/FBB3B67B3CF18F02431C1C75F3ACC912.pdf" TargetMode="External"/><Relationship Id="rId616" Type="http://schemas.openxmlformats.org/officeDocument/2006/relationships/hyperlink" Target="https://ekfgroup.com/uploads/products/022C116FAFAB3B8FF28801792CA70B61.pdf" TargetMode="External"/><Relationship Id="rId658" Type="http://schemas.openxmlformats.org/officeDocument/2006/relationships/hyperlink" Target="https://ekfgroup.com/catalog/products/birka-markirovochnaya-myagkaya-u-135m-100-sht-krug-ekf-proxima" TargetMode="External"/><Relationship Id="rId255" Type="http://schemas.openxmlformats.org/officeDocument/2006/relationships/hyperlink" Target="https://ekfgroup.com/uploads/products/F5297CBB79DBE97D983733D7944DBD3A.pdf" TargetMode="External"/><Relationship Id="rId297" Type="http://schemas.openxmlformats.org/officeDocument/2006/relationships/hyperlink" Target="https://ekfgroup.com/uploads/products/022C116FAFAB3B8FF28801792CA70B61.pdf" TargetMode="External"/><Relationship Id="rId462" Type="http://schemas.openxmlformats.org/officeDocument/2006/relationships/hyperlink" Target="https://ekfgroup.com/uploads/products/F5297CBB79DBE97D983733D7944DBD3A.pdf" TargetMode="External"/><Relationship Id="rId518" Type="http://schemas.openxmlformats.org/officeDocument/2006/relationships/hyperlink" Target="https://ekfgroup.com/uploads/products/E32A76570050D1673D59ECC83E92A0E6.pdf" TargetMode="External"/><Relationship Id="rId115" Type="http://schemas.openxmlformats.org/officeDocument/2006/relationships/hyperlink" Target="https://ekfgroup.com/catalog/products/panel-gorizontalnaya-dlya-sekcionirovaniya-sh600-g800-mm-ekf-alesta" TargetMode="External"/><Relationship Id="rId157" Type="http://schemas.openxmlformats.org/officeDocument/2006/relationships/hyperlink" Target="https://ekfgroup.com/uploads/products/F5297CBB79DBE97D983733D7944DBD3A.pdf" TargetMode="External"/><Relationship Id="rId322" Type="http://schemas.openxmlformats.org/officeDocument/2006/relationships/hyperlink" Target="https://ekfgroup.com/catalog/products/zazhim-na-din-rejku-1-vint-hdw-211-ekf-proxima" TargetMode="External"/><Relationship Id="rId364" Type="http://schemas.openxmlformats.org/officeDocument/2006/relationships/hyperlink" Target="https://ekfgroup.com/catalog/products/obogrevatel-na-din-rejku-klemmnyj-100vt-230v-ip20-ekf-proxima" TargetMode="External"/><Relationship Id="rId61" Type="http://schemas.openxmlformats.org/officeDocument/2006/relationships/hyperlink" Target="https://ekfgroup.com/catalog/products/montazhnaya-panel-v2200-sh800-glu-aya-ekf-alesta" TargetMode="External"/><Relationship Id="rId199" Type="http://schemas.openxmlformats.org/officeDocument/2006/relationships/hyperlink" Target="https://ekfgroup.com/uploads/products/F5297CBB79DBE97D983733D7944DBD3A.pdf" TargetMode="External"/><Relationship Id="rId571" Type="http://schemas.openxmlformats.org/officeDocument/2006/relationships/hyperlink" Target="https://ekfgroup.com/uploads/products/022C116FAFAB3B8FF28801792CA70B61.pdf" TargetMode="External"/><Relationship Id="rId627" Type="http://schemas.openxmlformats.org/officeDocument/2006/relationships/hyperlink" Target="https://ekfgroup.com/catalog/products/okno-germetichnoe-18-modulej-ip67-proxima" TargetMode="External"/><Relationship Id="rId19" Type="http://schemas.openxmlformats.org/officeDocument/2006/relationships/hyperlink" Target="https://ekfgroup.com/catalog/products/bokovye-paneli-2000x400-2-sht-ekf-alesta" TargetMode="External"/><Relationship Id="rId224" Type="http://schemas.openxmlformats.org/officeDocument/2006/relationships/hyperlink" Target="https://ekfgroup.com/uploads/products/F5297CBB79DBE97D983733D7944DBD3A.pdf" TargetMode="External"/><Relationship Id="rId266" Type="http://schemas.openxmlformats.org/officeDocument/2006/relationships/hyperlink" Target="https://ekfgroup.com/uploads/products/F5297CBB79DBE97D983733D7944DBD3A.pdf" TargetMode="External"/><Relationship Id="rId431" Type="http://schemas.openxmlformats.org/officeDocument/2006/relationships/hyperlink" Target="https://ekfgroup.com/catalog/products/ploshhadka-samokleyashhayasya-30-30mm-belaya-100sht-ekf-proxima" TargetMode="External"/><Relationship Id="rId473" Type="http://schemas.openxmlformats.org/officeDocument/2006/relationships/hyperlink" Target="https://ekfgroup.com/catalog/products/salnik-pg29-ip54-20-sht-d-otv-36-mm-d-provod-18-25-mm-ekf-proxima" TargetMode="External"/><Relationship Id="rId529" Type="http://schemas.openxmlformats.org/officeDocument/2006/relationships/hyperlink" Target="https://ekfgroup.com/uploads/products/E32A76570050D1673D59ECC83E92A0E6.pdf" TargetMode="External"/><Relationship Id="rId30" Type="http://schemas.openxmlformats.org/officeDocument/2006/relationships/hyperlink" Target="https://ekfgroup.com/catalog/products/panel-zadnyaya-dlya-shkafov-2000-x-400-ekf-alesta" TargetMode="External"/><Relationship Id="rId126" Type="http://schemas.openxmlformats.org/officeDocument/2006/relationships/hyperlink" Target="https://ekfgroup.com/catalog/products/peregorodki-dlya-sborki-gorizontalny-shin-sh600-g600-ekf-alesta" TargetMode="External"/><Relationship Id="rId168" Type="http://schemas.openxmlformats.org/officeDocument/2006/relationships/hyperlink" Target="https://ekfgroup.com/uploads/products/F5297CBB79DBE97D983733D7944DBD3A.pdf" TargetMode="External"/><Relationship Id="rId333" Type="http://schemas.openxmlformats.org/officeDocument/2006/relationships/hyperlink" Target="https://ekfgroup.com/uploads/products/022C116FAFAB3B8FF28801792CA70B61.pdf" TargetMode="External"/><Relationship Id="rId540" Type="http://schemas.openxmlformats.org/officeDocument/2006/relationships/hyperlink" Target="https://ekfgroup.com/catalog/products/znak-opasnaya-zona-250-500-mm-plastik-ekf" TargetMode="External"/><Relationship Id="rId72" Type="http://schemas.openxmlformats.org/officeDocument/2006/relationships/hyperlink" Target="https://ekfgroup.com/catalog/products/derzhatel-plastronov-v1800-2-sht-ekf-alesta" TargetMode="External"/><Relationship Id="rId375" Type="http://schemas.openxmlformats.org/officeDocument/2006/relationships/hyperlink" Target="https://ekfgroup.com/catalog/products/termostat-no-nc-o-lazhdenie-obogrev-na-din-rejku-5-10a-230v-ip20-ekf-proxima" TargetMode="External"/><Relationship Id="rId582" Type="http://schemas.openxmlformats.org/officeDocument/2006/relationships/hyperlink" Target="https://ekfgroup.com/uploads/products/022C116FAFAB3B8FF28801792CA70B61.pdf" TargetMode="External"/><Relationship Id="rId638" Type="http://schemas.openxmlformats.org/officeDocument/2006/relationships/hyperlink" Target="https://ekfgroup.com/uploads/products/022C116FAFAB3B8FF28801792CA70B61.pdf" TargetMode="External"/><Relationship Id="rId3" Type="http://schemas.openxmlformats.org/officeDocument/2006/relationships/hyperlink" Target="https://ekfgroup.com/catalog/products/komplekt-krysha-i-osnovanie-300x600-ekf-alesta" TargetMode="External"/><Relationship Id="rId235" Type="http://schemas.openxmlformats.org/officeDocument/2006/relationships/hyperlink" Target="https://ekfgroup.com/uploads/products/F5297CBB79DBE97D983733D7944DBD3A.pdf" TargetMode="External"/><Relationship Id="rId277" Type="http://schemas.openxmlformats.org/officeDocument/2006/relationships/hyperlink" Target="https://ekfgroup.com/catalog/products/shina-m1t-4-30-4000-mm-ekf-proxima" TargetMode="External"/><Relationship Id="rId400" Type="http://schemas.openxmlformats.org/officeDocument/2006/relationships/hyperlink" Target="https://ekfgroup.com/uploads/products/A07B8143B3B397F72FDEEB31E4B9568B.pdf" TargetMode="External"/><Relationship Id="rId442" Type="http://schemas.openxmlformats.org/officeDocument/2006/relationships/hyperlink" Target="https://ekfgroup.com/uploads/products/E32A76570050D1673D59ECC83E92A0E6.pdf" TargetMode="External"/><Relationship Id="rId484" Type="http://schemas.openxmlformats.org/officeDocument/2006/relationships/hyperlink" Target="https://ekfgroup.com/catalog/products/salnik-metallicheskij-mgm12-ip68-d-provodnika-3-7-mm-proxima" TargetMode="External"/><Relationship Id="rId137" Type="http://schemas.openxmlformats.org/officeDocument/2006/relationships/hyperlink" Target="https://ekfgroup.com/uploads/products/F5297CBB79DBE97D983733D7944DBD3A.pdf" TargetMode="External"/><Relationship Id="rId302" Type="http://schemas.openxmlformats.org/officeDocument/2006/relationships/hyperlink" Target="https://ekfgroup.com/catalog/products/terminal-dlya-provodnikov-universalnyj-1-4-mm2-na-shinu-5mm-ekf-proxima" TargetMode="External"/><Relationship Id="rId344" Type="http://schemas.openxmlformats.org/officeDocument/2006/relationships/hyperlink" Target="https://ekfgroup.com/catalog/products/ventilyator-s-filtrom-170-m-ch-176x176-mm-220v-ip54-ekf-proxima" TargetMode="External"/><Relationship Id="rId41" Type="http://schemas.openxmlformats.org/officeDocument/2006/relationships/hyperlink" Target="https://ekfgroup.com/catalog/products/dver-sploshnaya-dlya-shkafov-v-sh-2000-300-ekf-alesta" TargetMode="External"/><Relationship Id="rId83" Type="http://schemas.openxmlformats.org/officeDocument/2006/relationships/hyperlink" Target="https://ekfgroup.com/catalog/products/plastron-v2200-sh300-ekf-alesta" TargetMode="External"/><Relationship Id="rId179" Type="http://schemas.openxmlformats.org/officeDocument/2006/relationships/hyperlink" Target="https://ekfgroup.com/uploads/products/F5297CBB79DBE97D983733D7944DBD3A.pdf" TargetMode="External"/><Relationship Id="rId386" Type="http://schemas.openxmlformats.org/officeDocument/2006/relationships/hyperlink" Target="https://ekfgroup.com/uploads/products/A950CF50AFA158C8BB937B9C71B7F9B7.pdf" TargetMode="External"/><Relationship Id="rId551" Type="http://schemas.openxmlformats.org/officeDocument/2006/relationships/hyperlink" Target="https://ekfgroup.com/catalog/products/naklejka-12v-10-15mm-ekf-proxima" TargetMode="External"/><Relationship Id="rId593" Type="http://schemas.openxmlformats.org/officeDocument/2006/relationships/hyperlink" Target="https://ekfgroup.com/catalog/products/naklejka-molniya-100-100-100mm-ekf-proxima" TargetMode="External"/><Relationship Id="rId607" Type="http://schemas.openxmlformats.org/officeDocument/2006/relationships/hyperlink" Target="https://ekfgroup.com/catalog/products/komplekt-modulny-nakleek-malyj-110-200-ekf-proxima" TargetMode="External"/><Relationship Id="rId649" Type="http://schemas.openxmlformats.org/officeDocument/2006/relationships/hyperlink" Target="https://ekfgroup.com/catalog/products/povodok-1-nakonechnik-200mm-ekf-proxima" TargetMode="External"/><Relationship Id="rId190" Type="http://schemas.openxmlformats.org/officeDocument/2006/relationships/hyperlink" Target="https://ekfgroup.com/uploads/products/F5297CBB79DBE97D983733D7944DBD3A.pdf" TargetMode="External"/><Relationship Id="rId204" Type="http://schemas.openxmlformats.org/officeDocument/2006/relationships/hyperlink" Target="https://ekfgroup.com/uploads/products/F5297CBB79DBE97D983733D7944DBD3A.pdf" TargetMode="External"/><Relationship Id="rId246" Type="http://schemas.openxmlformats.org/officeDocument/2006/relationships/hyperlink" Target="https://ekfgroup.com/uploads/products/F5297CBB79DBE97D983733D7944DBD3A.pdf" TargetMode="External"/><Relationship Id="rId288" Type="http://schemas.openxmlformats.org/officeDocument/2006/relationships/hyperlink" Target="https://ekfgroup.com/uploads/products/022C116FAFAB3B8FF28801792CA70B61.pdf" TargetMode="External"/><Relationship Id="rId411" Type="http://schemas.openxmlformats.org/officeDocument/2006/relationships/hyperlink" Target="https://ekfgroup.com/uploads/products/73E2239D520EF881F474747E7EE01508.pdf" TargetMode="External"/><Relationship Id="rId453" Type="http://schemas.openxmlformats.org/officeDocument/2006/relationships/hyperlink" Target="https://ekfgroup.com/uploads/products/E32A76570050D1673D59ECC83E92A0E6.pdf" TargetMode="External"/><Relationship Id="rId509" Type="http://schemas.openxmlformats.org/officeDocument/2006/relationships/hyperlink" Target="https://ekfgroup.com/uploads/products/F5297CBB79DBE97D983733D7944DBD3A.pdf" TargetMode="External"/><Relationship Id="rId660" Type="http://schemas.openxmlformats.org/officeDocument/2006/relationships/hyperlink" Target="https://ekfgroup.com/uploads/products/E32A76570050D1673D59ECC83E92A0E6.pdf" TargetMode="External"/><Relationship Id="rId106" Type="http://schemas.openxmlformats.org/officeDocument/2006/relationships/hyperlink" Target="https://ekfgroup.com/catalog/products/panel-vertikalnaya-dlya-sekcionirovaniya-v2000-g800-mm-ekf-alesta" TargetMode="External"/><Relationship Id="rId313" Type="http://schemas.openxmlformats.org/officeDocument/2006/relationships/hyperlink" Target="https://ekfgroup.com/uploads/products/A4B776318F4385D5D212DF821579F9E4.pdf" TargetMode="External"/><Relationship Id="rId495" Type="http://schemas.openxmlformats.org/officeDocument/2006/relationships/hyperlink" Target="https://ekfgroup.com/catalog/products/salnik-metallicheskij-mgm54-ip68-d-provodnika-32-38-mm-proxima" TargetMode="External"/><Relationship Id="rId10" Type="http://schemas.openxmlformats.org/officeDocument/2006/relationships/hyperlink" Target="https://ekfgroup.com/catalog/products/komplekt-krysha-i-osnovanie-800x400-ekf-alesta" TargetMode="External"/><Relationship Id="rId52" Type="http://schemas.openxmlformats.org/officeDocument/2006/relationships/hyperlink" Target="https://ekfgroup.com/catalog/products/rym-bolty-4-sht-m12-ekf-alesta" TargetMode="External"/><Relationship Id="rId94" Type="http://schemas.openxmlformats.org/officeDocument/2006/relationships/hyperlink" Target="https://ekfgroup.com/catalog/products/plastron-s-vyrezom-dlya-modulny-ustrojstv-v200-sh800-mm-ekf-alesta" TargetMode="External"/><Relationship Id="rId148" Type="http://schemas.openxmlformats.org/officeDocument/2006/relationships/hyperlink" Target="https://ekfgroup.com/uploads/products/F5297CBB79DBE97D983733D7944DBD3A.pdf" TargetMode="External"/><Relationship Id="rId355" Type="http://schemas.openxmlformats.org/officeDocument/2006/relationships/hyperlink" Target="https://ekfgroup.com/catalog/products/obogrevatel-v-izoliruyushhem-korpuse-s-ventilyatorom-i-termostatom-1000vt-230v-ekf-proxima" TargetMode="External"/><Relationship Id="rId397" Type="http://schemas.openxmlformats.org/officeDocument/2006/relationships/hyperlink" Target="https://ekfgroup.com/uploads/products/A07B8143B3B397F72FDEEB31E4B9568B.pdf" TargetMode="External"/><Relationship Id="rId520" Type="http://schemas.openxmlformats.org/officeDocument/2006/relationships/hyperlink" Target="https://ekfgroup.com/uploads/products/E32A76570050D1673D59ECC83E92A0E6.pdf" TargetMode="External"/><Relationship Id="rId562" Type="http://schemas.openxmlformats.org/officeDocument/2006/relationships/hyperlink" Target="https://ekfgroup.com/catalog/products/naklejka-c-d-20mm-ekf-proxima" TargetMode="External"/><Relationship Id="rId618" Type="http://schemas.openxmlformats.org/officeDocument/2006/relationships/hyperlink" Target="https://ekfgroup.com/uploads/products/022C116FAFAB3B8FF28801792CA70B61.pdf" TargetMode="External"/><Relationship Id="rId215" Type="http://schemas.openxmlformats.org/officeDocument/2006/relationships/hyperlink" Target="https://ekfgroup.com/uploads/products/F5297CBB79DBE97D983733D7944DBD3A.pdf" TargetMode="External"/><Relationship Id="rId257" Type="http://schemas.openxmlformats.org/officeDocument/2006/relationships/hyperlink" Target="https://ekfgroup.com/uploads/products/F5297CBB79DBE97D983733D7944DBD3A.pdf" TargetMode="External"/><Relationship Id="rId422" Type="http://schemas.openxmlformats.org/officeDocument/2006/relationships/hyperlink" Target="https://ekfgroup.com/uploads/products/FBB3B67B3CF18F02431C1C75F3ACC912.pdf" TargetMode="External"/><Relationship Id="rId464" Type="http://schemas.openxmlformats.org/officeDocument/2006/relationships/hyperlink" Target="https://ekfgroup.com/uploads/products/F5297CBB79DBE97D983733D7944DBD3A.pdf" TargetMode="External"/><Relationship Id="rId299" Type="http://schemas.openxmlformats.org/officeDocument/2006/relationships/hyperlink" Target="https://ekfgroup.com/uploads/products/022C116FAFAB3B8FF28801792CA70B61.pdf" TargetMode="External"/><Relationship Id="rId63" Type="http://schemas.openxmlformats.org/officeDocument/2006/relationships/hyperlink" Target="https://ekfgroup.com/catalog/products/montazhnaya-panel-v300-sh600-glu-aya-ekf-alesta" TargetMode="External"/><Relationship Id="rId159" Type="http://schemas.openxmlformats.org/officeDocument/2006/relationships/hyperlink" Target="https://ekfgroup.com/uploads/products/F5297CBB79DBE97D983733D7944DBD3A.pdf" TargetMode="External"/><Relationship Id="rId366" Type="http://schemas.openxmlformats.org/officeDocument/2006/relationships/hyperlink" Target="https://ekfgroup.com/catalog/products/obogrevatel-na-din-rejku-klemmnyj-15vt-230v-ip20-ekf-proxima" TargetMode="External"/><Relationship Id="rId573" Type="http://schemas.openxmlformats.org/officeDocument/2006/relationships/hyperlink" Target="https://ekfgroup.com/uploads/products/022C116FAFAB3B8FF28801792CA70B61.pdf" TargetMode="External"/><Relationship Id="rId226" Type="http://schemas.openxmlformats.org/officeDocument/2006/relationships/hyperlink" Target="https://ekfgroup.com/uploads/products/F5297CBB79DBE97D983733D7944DBD3A.pdf" TargetMode="External"/><Relationship Id="rId433" Type="http://schemas.openxmlformats.org/officeDocument/2006/relationships/hyperlink" Target="https://ekfgroup.com/catalog/products/ploshhadka-samokleyashhayasya-40-40mm-belaya-100sht-ekf-proxima" TargetMode="External"/><Relationship Id="rId640" Type="http://schemas.openxmlformats.org/officeDocument/2006/relationships/hyperlink" Target="https://ekfgroup.com/uploads/products/022C116FAFAB3B8FF28801792CA70B61.pdf" TargetMode="External"/><Relationship Id="rId74" Type="http://schemas.openxmlformats.org/officeDocument/2006/relationships/hyperlink" Target="https://ekfgroup.com/catalog/products/derzhatel-plastronov-v2200-2-sht-ekf-alesta" TargetMode="External"/><Relationship Id="rId377" Type="http://schemas.openxmlformats.org/officeDocument/2006/relationships/hyperlink" Target="https://ekfgroup.com/catalog/products/termostat-no-o-lazhdenie-na-din-rejku-10a-230v-ip20-ekf-proxima" TargetMode="External"/><Relationship Id="rId500" Type="http://schemas.openxmlformats.org/officeDocument/2006/relationships/hyperlink" Target="https://ekfgroup.com/uploads/products/F5297CBB79DBE97D983733D7944DBD3A.pdf" TargetMode="External"/><Relationship Id="rId584" Type="http://schemas.openxmlformats.org/officeDocument/2006/relationships/hyperlink" Target="https://ekfgroup.com/uploads/products/022C116FAFAB3B8FF28801792CA70B61.pdf" TargetMode="External"/><Relationship Id="rId5" Type="http://schemas.openxmlformats.org/officeDocument/2006/relationships/hyperlink" Target="https://ekfgroup.com/catalog/products/komplekt-krysha-i-osnovanie-400x600-ekf-alesta" TargetMode="External"/><Relationship Id="rId237" Type="http://schemas.openxmlformats.org/officeDocument/2006/relationships/hyperlink" Target="https://ekfgroup.com/uploads/products/F5297CBB79DBE97D983733D7944DBD3A.pdf" TargetMode="External"/><Relationship Id="rId444" Type="http://schemas.openxmlformats.org/officeDocument/2006/relationships/hyperlink" Target="https://ekfgroup.com/catalog/products/lenta-spiralnaya-montazhnaya-swb-08-d8mm-d6mm-10m-ekf-proxima" TargetMode="External"/><Relationship Id="rId651" Type="http://schemas.openxmlformats.org/officeDocument/2006/relationships/hyperlink" Target="https://ekfgroup.com/catalog/products/povodok-2-nakonechnika-200mm-ekf-proxima" TargetMode="External"/><Relationship Id="rId290" Type="http://schemas.openxmlformats.org/officeDocument/2006/relationships/hyperlink" Target="https://ekfgroup.com/uploads/products/022C116FAFAB3B8FF28801792CA70B61.pdf" TargetMode="External"/><Relationship Id="rId304" Type="http://schemas.openxmlformats.org/officeDocument/2006/relationships/hyperlink" Target="https://ekfgroup.com/catalog/products/terminal-dlya-provodnikov-universalnyj-16-50-mm2-na-shinu-5mm-ekf-proxima" TargetMode="External"/><Relationship Id="rId388" Type="http://schemas.openxmlformats.org/officeDocument/2006/relationships/hyperlink" Target="https://ekfgroup.com/uploads/products/A950CF50AFA158C8BB937B9C71B7F9B7.pdf" TargetMode="External"/><Relationship Id="rId511" Type="http://schemas.openxmlformats.org/officeDocument/2006/relationships/hyperlink" Target="https://ekfgroup.com/uploads/products/E32A76570050D1673D59ECC83E92A0E6.pdf" TargetMode="External"/><Relationship Id="rId609" Type="http://schemas.openxmlformats.org/officeDocument/2006/relationships/hyperlink" Target="https://ekfgroup.com/catalog/products/komplekt-modulny-nakleek-srednij-137-240-ekf-proxima" TargetMode="External"/><Relationship Id="rId85" Type="http://schemas.openxmlformats.org/officeDocument/2006/relationships/hyperlink" Target="https://ekfgroup.com/catalog/products/plastron-v50-sh400-ekf-alesta" TargetMode="External"/><Relationship Id="rId150" Type="http://schemas.openxmlformats.org/officeDocument/2006/relationships/hyperlink" Target="https://ekfgroup.com/uploads/products/F5297CBB79DBE97D983733D7944DBD3A.pdf" TargetMode="External"/><Relationship Id="rId595" Type="http://schemas.openxmlformats.org/officeDocument/2006/relationships/hyperlink" Target="https://ekfgroup.com/catalog/products/naklejka-molniya-150-150-150mm-ekf-proxima" TargetMode="External"/><Relationship Id="rId248" Type="http://schemas.openxmlformats.org/officeDocument/2006/relationships/hyperlink" Target="https://ekfgroup.com/uploads/products/F5297CBB79DBE97D983733D7944DBD3A.pdf" TargetMode="External"/><Relationship Id="rId455" Type="http://schemas.openxmlformats.org/officeDocument/2006/relationships/hyperlink" Target="https://ekfgroup.com/uploads/products/E32A76570050D1673D59ECC83E92A0E6.pdf" TargetMode="External"/><Relationship Id="rId662" Type="http://schemas.openxmlformats.org/officeDocument/2006/relationships/hyperlink" Target="https://ekfgroup.com/uploads/products/E32A76570050D1673D59ECC83E92A0E6.pdf" TargetMode="External"/><Relationship Id="rId12" Type="http://schemas.openxmlformats.org/officeDocument/2006/relationships/hyperlink" Target="https://ekfgroup.com/catalog/products/komplekt-krysha-i-osnovanie-800x800-ekf-alesta" TargetMode="External"/><Relationship Id="rId108" Type="http://schemas.openxmlformats.org/officeDocument/2006/relationships/hyperlink" Target="https://ekfgroup.com/catalog/products/panel-vertikalnaya-dlya-sekcionirovaniya-v2200-g600-mm-ekf-alesta" TargetMode="External"/><Relationship Id="rId315" Type="http://schemas.openxmlformats.org/officeDocument/2006/relationships/hyperlink" Target="https://ekfgroup.com/uploads/products/A4B776318F4385D5D212DF821579F9E4.pdf" TargetMode="External"/><Relationship Id="rId522" Type="http://schemas.openxmlformats.org/officeDocument/2006/relationships/hyperlink" Target="https://ekfgroup.com/uploads/products/E32A76570050D1673D59ECC83E92A0E6.pdf" TargetMode="External"/><Relationship Id="rId96" Type="http://schemas.openxmlformats.org/officeDocument/2006/relationships/hyperlink" Target="https://ekfgroup.com/catalog/products/paneli-bokovye-dlya-sekcionirovaniya-v300-g600-mm-2-sht-ekf-alesta" TargetMode="External"/><Relationship Id="rId161" Type="http://schemas.openxmlformats.org/officeDocument/2006/relationships/hyperlink" Target="https://ekfgroup.com/uploads/products/F5297CBB79DBE97D983733D7944DBD3A.pdf" TargetMode="External"/><Relationship Id="rId399" Type="http://schemas.openxmlformats.org/officeDocument/2006/relationships/hyperlink" Target="https://ekfgroup.com/uploads/products/A07B8143B3B397F72FDEEB31E4B9568B.pdf" TargetMode="External"/><Relationship Id="rId259" Type="http://schemas.openxmlformats.org/officeDocument/2006/relationships/hyperlink" Target="https://ekfgroup.com/uploads/products/F5297CBB79DBE97D983733D7944DBD3A.pdf" TargetMode="External"/><Relationship Id="rId466" Type="http://schemas.openxmlformats.org/officeDocument/2006/relationships/hyperlink" Target="https://ekfgroup.com/uploads/products/F5297CBB79DBE97D983733D7944DBD3A.pdf" TargetMode="External"/><Relationship Id="rId23" Type="http://schemas.openxmlformats.org/officeDocument/2006/relationships/hyperlink" Target="https://ekfgroup.com/catalog/products/bokovye-paneli-2200x600-2-sht-ekf-alesta" TargetMode="External"/><Relationship Id="rId119" Type="http://schemas.openxmlformats.org/officeDocument/2006/relationships/hyperlink" Target="https://ekfgroup.com/catalog/products/peregorodki-dlya-sborki-gorizontalny-shin-sh300-g400-ekf-alesta" TargetMode="External"/><Relationship Id="rId326" Type="http://schemas.openxmlformats.org/officeDocument/2006/relationships/hyperlink" Target="https://ekfgroup.com/catalog/products/kronshtejn-dlya-ustanovki-din-rejki-h-30mm-ekf-proxima" TargetMode="External"/><Relationship Id="rId533" Type="http://schemas.openxmlformats.org/officeDocument/2006/relationships/hyperlink" Target="https://ekfgroup.com/uploads/products/022C116FAFAB3B8FF28801792CA70B61.pdf" TargetMode="External"/><Relationship Id="rId172" Type="http://schemas.openxmlformats.org/officeDocument/2006/relationships/hyperlink" Target="https://ekfgroup.com/uploads/products/F5297CBB79DBE97D983733D7944DBD3A.pdf" TargetMode="External"/><Relationship Id="rId477" Type="http://schemas.openxmlformats.org/officeDocument/2006/relationships/hyperlink" Target="https://ekfgroup.com/catalog/products/salnik-pg7-ip54-20-sht-d-otv-11-mm-d-provod-3-6-5-mm-ekf-proxima" TargetMode="External"/><Relationship Id="rId600" Type="http://schemas.openxmlformats.org/officeDocument/2006/relationships/hyperlink" Target="https://ekfgroup.com/uploads/products/022C116FAFAB3B8FF28801792CA70B61.pdf" TargetMode="External"/><Relationship Id="rId337" Type="http://schemas.openxmlformats.org/officeDocument/2006/relationships/hyperlink" Target="https://ekfgroup.com/uploads/products/022C116FAFAB3B8FF28801792CA70B61.pdf" TargetMode="External"/><Relationship Id="rId34" Type="http://schemas.openxmlformats.org/officeDocument/2006/relationships/hyperlink" Target="https://ekfgroup.com/catalog/products/panel-zadnyaya-dlya-shkafov-2200-x-400-ekf-alesta" TargetMode="External"/><Relationship Id="rId544" Type="http://schemas.openxmlformats.org/officeDocument/2006/relationships/hyperlink" Target="https://ekfgroup.com/uploads/products/022C116FAFAB3B8FF28801792CA70B61.pdf" TargetMode="External"/><Relationship Id="rId183" Type="http://schemas.openxmlformats.org/officeDocument/2006/relationships/hyperlink" Target="https://ekfgroup.com/uploads/products/F5297CBB79DBE97D983733D7944DBD3A.pdf" TargetMode="External"/><Relationship Id="rId390" Type="http://schemas.openxmlformats.org/officeDocument/2006/relationships/hyperlink" Target="https://ekfgroup.com/uploads/products/A950CF50AFA158C8BB937B9C71B7F9B7.pdf" TargetMode="External"/><Relationship Id="rId404" Type="http://schemas.openxmlformats.org/officeDocument/2006/relationships/hyperlink" Target="https://ekfgroup.com/uploads/products/A07B8143B3B397F72FDEEB31E4B9568B.pdf" TargetMode="External"/><Relationship Id="rId611" Type="http://schemas.openxmlformats.org/officeDocument/2006/relationships/hyperlink" Target="https://ekfgroup.com/catalog/products/zaglushka-12-modulej-belaya-ekf-proxima" TargetMode="External"/><Relationship Id="rId250" Type="http://schemas.openxmlformats.org/officeDocument/2006/relationships/hyperlink" Target="https://ekfgroup.com/uploads/products/F5297CBB79DBE97D983733D7944DBD3A.pdf" TargetMode="External"/><Relationship Id="rId488" Type="http://schemas.openxmlformats.org/officeDocument/2006/relationships/hyperlink" Target="https://ekfgroup.com/catalog/products/salnik-metallicheskij-mgm22-ip68-d-provodnika-10-14-mm-proxima" TargetMode="External"/><Relationship Id="rId45" Type="http://schemas.openxmlformats.org/officeDocument/2006/relationships/hyperlink" Target="https://ekfgroup.com/catalog/products/dver-sploshnaya-dlya-shkafov-v-sh-2200-300-ekf-alesta" TargetMode="External"/><Relationship Id="rId110" Type="http://schemas.openxmlformats.org/officeDocument/2006/relationships/hyperlink" Target="https://ekfgroup.com/catalog/products/panel-gorizontalnaya-dlya-sekcionirovaniya-sh400-g400-mm-ekf-alesta" TargetMode="External"/><Relationship Id="rId348" Type="http://schemas.openxmlformats.org/officeDocument/2006/relationships/hyperlink" Target="https://ekfgroup.com/catalog/products/ventilyator-s-filtrom-52-m-ch-124x124-mm-ip54-ekf-proxima" TargetMode="External"/><Relationship Id="rId555" Type="http://schemas.openxmlformats.org/officeDocument/2006/relationships/hyperlink" Target="https://ekfgroup.com/catalog/products/naklejka-24v-10-15mm-ekf-proxima" TargetMode="External"/><Relationship Id="rId194" Type="http://schemas.openxmlformats.org/officeDocument/2006/relationships/hyperlink" Target="https://ekfgroup.com/uploads/products/F5297CBB79DBE97D983733D7944DBD3A.pdf" TargetMode="External"/><Relationship Id="rId208" Type="http://schemas.openxmlformats.org/officeDocument/2006/relationships/hyperlink" Target="https://ekfgroup.com/uploads/products/F5297CBB79DBE97D983733D7944DBD3A.pdf" TargetMode="External"/><Relationship Id="rId415" Type="http://schemas.openxmlformats.org/officeDocument/2006/relationships/hyperlink" Target="https://ekfgroup.com/catalog/products/svetilnik-svetodiodnyj-shhitovoj-220v-5vt-vint-ekf-proxima" TargetMode="External"/><Relationship Id="rId622" Type="http://schemas.openxmlformats.org/officeDocument/2006/relationships/hyperlink" Target="https://ekfgroup.com/uploads/products/022C116FAFAB3B8FF28801792CA70B61.pdf" TargetMode="External"/><Relationship Id="rId261" Type="http://schemas.openxmlformats.org/officeDocument/2006/relationships/hyperlink" Target="https://ekfgroup.com/uploads/products/F5297CBB79DBE97D983733D7944DBD3A.pdf" TargetMode="External"/><Relationship Id="rId499" Type="http://schemas.openxmlformats.org/officeDocument/2006/relationships/hyperlink" Target="https://ekfgroup.com/uploads/products/F5297CBB79DBE97D983733D7944DBD3A.pdf" TargetMode="External"/><Relationship Id="rId56" Type="http://schemas.openxmlformats.org/officeDocument/2006/relationships/hyperlink" Target="https://ekfgroup.com/catalog/products/montazhnaya-panel-v2000-sh400-glu-aya-ekf-alesta" TargetMode="External"/><Relationship Id="rId359" Type="http://schemas.openxmlformats.org/officeDocument/2006/relationships/hyperlink" Target="https://ekfgroup.com/catalog/products/obogrevatel-na-din-rejku-100vt-230v-ip20-ekf-proxima" TargetMode="External"/><Relationship Id="rId566" Type="http://schemas.openxmlformats.org/officeDocument/2006/relationships/hyperlink" Target="https://ekfgroup.com/catalog/products/naklejka-n-d20mm-ekf-proxima" TargetMode="External"/><Relationship Id="rId121" Type="http://schemas.openxmlformats.org/officeDocument/2006/relationships/hyperlink" Target="https://ekfgroup.com/catalog/products/peregorodki-dlya-sborki-gorizontalny-shin-sh300-g800-ekf-alesta" TargetMode="External"/><Relationship Id="rId219" Type="http://schemas.openxmlformats.org/officeDocument/2006/relationships/hyperlink" Target="https://ekfgroup.com/uploads/products/F5297CBB79DBE97D983733D7944DBD3A.pdf" TargetMode="External"/><Relationship Id="rId426" Type="http://schemas.openxmlformats.org/officeDocument/2006/relationships/hyperlink" Target="https://ekfgroup.com/uploads/products/3FC37FD2726DBB20E99DA407CBB09BB1.pdf" TargetMode="External"/><Relationship Id="rId633" Type="http://schemas.openxmlformats.org/officeDocument/2006/relationships/hyperlink" Target="https://ekfgroup.com/catalog/products/okno-germetichnoe-dlya-priborov-ip67-proxima" TargetMode="External"/><Relationship Id="rId67" Type="http://schemas.openxmlformats.org/officeDocument/2006/relationships/hyperlink" Target="https://ekfgroup.com/catalog/products/montazhnaya-panel-v600-sh800-glu-aya-ekf-alesta" TargetMode="External"/><Relationship Id="rId272" Type="http://schemas.openxmlformats.org/officeDocument/2006/relationships/hyperlink" Target="https://ekfgroup.com/uploads/products/E32A76570050D1673D59ECC83E92A0E6.pdf" TargetMode="External"/><Relationship Id="rId577" Type="http://schemas.openxmlformats.org/officeDocument/2006/relationships/hyperlink" Target="https://ekfgroup.com/uploads/products/022C116FAFAB3B8FF28801792CA70B61.pdf" TargetMode="External"/><Relationship Id="rId132" Type="http://schemas.openxmlformats.org/officeDocument/2006/relationships/hyperlink" Target="https://ekfgroup.com/catalog/products/komplekt-panelej-cokolya-alesta-sh_g-400-mm-v-100mm-1-kmp-2-sht-ekf-alesta" TargetMode="External"/><Relationship Id="rId437" Type="http://schemas.openxmlformats.org/officeDocument/2006/relationships/hyperlink" Target="https://ekfgroup.com/uploads/products/E32A76570050D1673D59ECC83E92A0E6.pdf" TargetMode="External"/><Relationship Id="rId644" Type="http://schemas.openxmlformats.org/officeDocument/2006/relationships/hyperlink" Target="https://ekfgroup.com/uploads/products/022C116FAFAB3B8FF28801792CA70B61.pdf" TargetMode="External"/><Relationship Id="rId283" Type="http://schemas.openxmlformats.org/officeDocument/2006/relationships/hyperlink" Target="https://ekfgroup.com/catalog/products/shina-ad-31t-5-50-4000-mm-ekf-proxima" TargetMode="External"/><Relationship Id="rId490" Type="http://schemas.openxmlformats.org/officeDocument/2006/relationships/hyperlink" Target="https://ekfgroup.com/catalog/products/salnik-metallicheskij-mgm25-ip68-d-provodnika-13-18-mm-proxima" TargetMode="External"/><Relationship Id="rId504" Type="http://schemas.openxmlformats.org/officeDocument/2006/relationships/hyperlink" Target="https://ekfgroup.com/uploads/products/F5297CBB79DBE97D983733D7944DBD3A.pdf" TargetMode="External"/><Relationship Id="rId78" Type="http://schemas.openxmlformats.org/officeDocument/2006/relationships/hyperlink" Target="https://ekfgroup.com/catalog/products/plastron-v100-sh400-ekf-alesta" TargetMode="External"/><Relationship Id="rId143" Type="http://schemas.openxmlformats.org/officeDocument/2006/relationships/hyperlink" Target="https://ekfgroup.com/uploads/products/F5297CBB79DBE97D983733D7944DBD3A.pdf" TargetMode="External"/><Relationship Id="rId350" Type="http://schemas.openxmlformats.org/officeDocument/2006/relationships/hyperlink" Target="https://ekfgroup.com/catalog/products/ventilyacionnaya-reshetka-s-filtrom-124x124-mm-ip54-ekf-proxima" TargetMode="External"/><Relationship Id="rId588" Type="http://schemas.openxmlformats.org/officeDocument/2006/relationships/hyperlink" Target="https://ekfgroup.com/uploads/products/022C116FAFAB3B8FF28801792CA70B61.pdf" TargetMode="External"/><Relationship Id="rId9" Type="http://schemas.openxmlformats.org/officeDocument/2006/relationships/hyperlink" Target="https://ekfgroup.com/catalog/products/komplekt-krysha-i-osnovanie-600x800-ekf-alesta" TargetMode="External"/><Relationship Id="rId210" Type="http://schemas.openxmlformats.org/officeDocument/2006/relationships/hyperlink" Target="https://ekfgroup.com/uploads/products/F5297CBB79DBE97D983733D7944DBD3A.pdf" TargetMode="External"/><Relationship Id="rId448" Type="http://schemas.openxmlformats.org/officeDocument/2006/relationships/hyperlink" Target="https://ekfgroup.com/catalog/products/lenta-spiralnaya-montazhnaya-swb-19-d19mm-d15mm-10m-ekf-proxima" TargetMode="External"/><Relationship Id="rId655" Type="http://schemas.openxmlformats.org/officeDocument/2006/relationships/hyperlink" Target="https://ekfgroup.com/catalog/products/birka-kabelnaya-markirovochnaya-u-136-100sht-treugolnik-ekf-proxima" TargetMode="External"/><Relationship Id="rId294" Type="http://schemas.openxmlformats.org/officeDocument/2006/relationships/hyperlink" Target="https://ekfgroup.com/uploads/products/022C116FAFAB3B8FF28801792CA70B61.pdf" TargetMode="External"/><Relationship Id="rId308" Type="http://schemas.openxmlformats.org/officeDocument/2006/relationships/hyperlink" Target="https://ekfgroup.com/catalog/products/terminal-dlya-provodnikov-universalnyj-35-70-mm2-na-shinu-5mm-ekf-proxima" TargetMode="External"/><Relationship Id="rId515" Type="http://schemas.openxmlformats.org/officeDocument/2006/relationships/hyperlink" Target="https://ekfgroup.com/uploads/products/E32A76570050D1673D59ECC83E92A0E6.pdf" TargetMode="External"/><Relationship Id="rId89" Type="http://schemas.openxmlformats.org/officeDocument/2006/relationships/hyperlink" Target="https://ekfgroup.com/catalog/products/plastron-v600-sh400-ekf-alesta" TargetMode="External"/><Relationship Id="rId154" Type="http://schemas.openxmlformats.org/officeDocument/2006/relationships/hyperlink" Target="https://ekfgroup.com/uploads/products/F5297CBB79DBE97D983733D7944DBD3A.pdf" TargetMode="External"/><Relationship Id="rId361" Type="http://schemas.openxmlformats.org/officeDocument/2006/relationships/hyperlink" Target="https://ekfgroup.com/catalog/products/obogrevatel-na-din-rejku-15vt-230v-ip20-ekf-proxima" TargetMode="External"/><Relationship Id="rId599" Type="http://schemas.openxmlformats.org/officeDocument/2006/relationships/hyperlink" Target="https://ekfgroup.com/uploads/products/022C116FAFAB3B8FF28801792CA70B61.pdf" TargetMode="External"/><Relationship Id="rId459" Type="http://schemas.openxmlformats.org/officeDocument/2006/relationships/hyperlink" Target="https://ekfgroup.com/catalog/products/kabelnaya-opletka-iz-poliamida-15-24-mm-100-m-ekf-proxima" TargetMode="External"/><Relationship Id="rId666" Type="http://schemas.openxmlformats.org/officeDocument/2006/relationships/hyperlink" Target="https://ekfgroup.com/uploads/products/E32A76570050D1673D59ECC83E92A0E6.pdf" TargetMode="External"/><Relationship Id="rId16" Type="http://schemas.openxmlformats.org/officeDocument/2006/relationships/hyperlink" Target="https://ekfgroup.com/catalog/products/bokovye-paneli-1800x400-2-sht-ekf-alesta" TargetMode="External"/><Relationship Id="rId221" Type="http://schemas.openxmlformats.org/officeDocument/2006/relationships/hyperlink" Target="https://ekfgroup.com/uploads/products/F5297CBB79DBE97D983733D7944DBD3A.pdf" TargetMode="External"/><Relationship Id="rId319" Type="http://schemas.openxmlformats.org/officeDocument/2006/relationships/hyperlink" Target="https://ekfgroup.com/uploads/products/A4B776318F4385D5D212DF821579F9E4.pdf" TargetMode="External"/><Relationship Id="rId526" Type="http://schemas.openxmlformats.org/officeDocument/2006/relationships/hyperlink" Target="https://ekfgroup.com/uploads/products/E32A76570050D1673D59ECC83E92A0E6.pdf" TargetMode="External"/><Relationship Id="rId165" Type="http://schemas.openxmlformats.org/officeDocument/2006/relationships/hyperlink" Target="https://ekfgroup.com/uploads/products/F5297CBB79DBE97D983733D7944DBD3A.pdf" TargetMode="External"/><Relationship Id="rId372" Type="http://schemas.openxmlformats.org/officeDocument/2006/relationships/hyperlink" Target="https://ekfgroup.com/catalog/products/gigrostat-na-din-rejku-5a-230v-ip20-ekf-proxima" TargetMode="External"/><Relationship Id="rId232" Type="http://schemas.openxmlformats.org/officeDocument/2006/relationships/hyperlink" Target="https://ekfgroup.com/uploads/products/F5297CBB79DBE97D983733D7944DBD3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91E71-34E0-4C2F-AD38-5A1B9405DF90}">
  <sheetPr codeName="Лист1"/>
  <dimension ref="A1:BD1048576"/>
  <sheetViews>
    <sheetView tabSelected="1" topLeftCell="A84" zoomScale="75" zoomScaleNormal="75" workbookViewId="0">
      <selection activeCell="B19" sqref="B19:C20"/>
    </sheetView>
  </sheetViews>
  <sheetFormatPr defaultColWidth="0" defaultRowHeight="63" customHeight="1" zeroHeight="1" x14ac:dyDescent="0.25"/>
  <cols>
    <col min="1" max="1" width="6.85546875" style="163" customWidth="1"/>
    <col min="2" max="2" width="4.85546875" style="200" bestFit="1" customWidth="1"/>
    <col min="3" max="3" width="44.28515625" style="2" customWidth="1"/>
    <col min="4" max="4" width="20" style="2" customWidth="1"/>
    <col min="5" max="5" width="9.7109375" style="2" customWidth="1"/>
    <col min="6" max="6" width="9.7109375" style="106" customWidth="1"/>
    <col min="7" max="9" width="9.7109375" style="2" customWidth="1"/>
    <col min="10" max="10" width="9.7109375" style="201" customWidth="1"/>
    <col min="11" max="28" width="9.7109375" style="2" customWidth="1"/>
    <col min="29" max="29" width="9.7109375" style="2" hidden="1" customWidth="1"/>
    <col min="30" max="30" width="29.85546875" style="2" hidden="1" customWidth="1"/>
    <col min="31" max="33" width="9.7109375" style="2" hidden="1" customWidth="1"/>
    <col min="34" max="34" width="10.5703125" style="2" hidden="1" customWidth="1"/>
    <col min="35" max="35" width="79" style="2" hidden="1" customWidth="1"/>
    <col min="36" max="36" width="16.28515625" style="2" hidden="1" customWidth="1"/>
    <col min="37" max="37" width="7.28515625" style="2" hidden="1" customWidth="1"/>
    <col min="38" max="38" width="79" style="2" hidden="1" customWidth="1"/>
    <col min="39" max="39" width="16.28515625" style="2" hidden="1" customWidth="1"/>
    <col min="40" max="40" width="7.28515625" style="2" hidden="1" customWidth="1"/>
    <col min="41" max="41" width="79" style="2" hidden="1" customWidth="1"/>
    <col min="42" max="42" width="16.28515625" style="2" hidden="1" customWidth="1"/>
    <col min="43" max="43" width="7.28515625" style="2" hidden="1" customWidth="1"/>
    <col min="44" max="44" width="79" style="2" hidden="1" customWidth="1"/>
    <col min="45" max="45" width="16.28515625" style="2" hidden="1" customWidth="1"/>
    <col min="46" max="46" width="7.28515625" style="2" hidden="1" customWidth="1"/>
    <col min="47" max="47" width="79" style="2" hidden="1" customWidth="1"/>
    <col min="48" max="48" width="16.28515625" style="2" hidden="1" customWidth="1"/>
    <col min="49" max="49" width="7.28515625" style="2" hidden="1" customWidth="1"/>
    <col min="50" max="50" width="79" style="2" hidden="1" customWidth="1"/>
    <col min="51" max="51" width="16.28515625" style="2" hidden="1" customWidth="1"/>
    <col min="52" max="52" width="7.28515625" style="2" hidden="1" customWidth="1"/>
    <col min="53" max="53" width="9.140625" style="2" hidden="1" customWidth="1"/>
    <col min="54" max="54" width="72.28515625" style="2" hidden="1" customWidth="1"/>
    <col min="55" max="55" width="15.28515625" style="2" hidden="1" customWidth="1"/>
    <col min="56" max="16384" width="9.140625" style="2" hidden="1"/>
  </cols>
  <sheetData>
    <row r="1" spans="1:34" ht="27" customHeight="1" thickBot="1" x14ac:dyDescent="0.3">
      <c r="A1" s="365" t="s">
        <v>1039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7"/>
      <c r="AC1" s="150"/>
      <c r="AD1" s="150"/>
      <c r="AE1" s="150"/>
      <c r="AF1" s="150"/>
      <c r="AG1" s="150"/>
      <c r="AH1" s="150"/>
    </row>
    <row r="2" spans="1:34" ht="21" customHeight="1" thickBot="1" x14ac:dyDescent="0.3">
      <c r="A2" s="371" t="s">
        <v>977</v>
      </c>
      <c r="B2" s="306" t="s">
        <v>999</v>
      </c>
      <c r="C2" s="307"/>
      <c r="D2" s="307"/>
      <c r="E2" s="307"/>
      <c r="F2" s="307"/>
      <c r="G2" s="308"/>
      <c r="H2" s="218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</row>
    <row r="3" spans="1:34" ht="21" customHeight="1" x14ac:dyDescent="0.25">
      <c r="A3" s="371"/>
      <c r="B3" s="222" t="s">
        <v>797</v>
      </c>
      <c r="C3" s="378" t="s">
        <v>723</v>
      </c>
      <c r="D3" s="379"/>
      <c r="E3" s="322" t="s">
        <v>763</v>
      </c>
      <c r="F3" s="323"/>
      <c r="G3" s="324"/>
      <c r="H3" s="218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</row>
    <row r="4" spans="1:34" ht="21" customHeight="1" x14ac:dyDescent="0.25">
      <c r="A4" s="371"/>
      <c r="B4" s="223" t="s">
        <v>798</v>
      </c>
      <c r="C4" s="368" t="s">
        <v>986</v>
      </c>
      <c r="D4" s="369"/>
      <c r="E4" s="325">
        <v>2000</v>
      </c>
      <c r="F4" s="326"/>
      <c r="G4" s="327"/>
      <c r="H4" s="218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6"/>
      <c r="Y4" s="216"/>
      <c r="Z4" s="216"/>
      <c r="AA4" s="216"/>
      <c r="AB4" s="216"/>
    </row>
    <row r="5" spans="1:34" ht="21" customHeight="1" x14ac:dyDescent="0.25">
      <c r="A5" s="371"/>
      <c r="B5" s="223" t="s">
        <v>799</v>
      </c>
      <c r="C5" s="368" t="s">
        <v>987</v>
      </c>
      <c r="D5" s="369"/>
      <c r="E5" s="325">
        <v>800</v>
      </c>
      <c r="F5" s="326"/>
      <c r="G5" s="327"/>
      <c r="H5" s="219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</row>
    <row r="6" spans="1:34" ht="21" customHeight="1" x14ac:dyDescent="0.25">
      <c r="A6" s="371"/>
      <c r="B6" s="223" t="s">
        <v>800</v>
      </c>
      <c r="C6" s="370" t="s">
        <v>726</v>
      </c>
      <c r="D6" s="369"/>
      <c r="E6" s="326">
        <v>55</v>
      </c>
      <c r="F6" s="326"/>
      <c r="G6" s="327"/>
      <c r="H6" s="219"/>
      <c r="I6" s="291" t="s">
        <v>993</v>
      </c>
      <c r="J6" s="292"/>
      <c r="K6" s="292"/>
      <c r="L6" s="292"/>
      <c r="M6" s="292"/>
      <c r="N6" s="292"/>
      <c r="O6" s="292"/>
      <c r="P6" s="292"/>
      <c r="Q6" s="292"/>
      <c r="R6" s="292"/>
      <c r="S6" s="292"/>
      <c r="T6" s="292"/>
      <c r="U6" s="292"/>
      <c r="V6" s="293"/>
      <c r="W6" s="216"/>
      <c r="X6" s="216"/>
      <c r="Y6" s="216"/>
      <c r="Z6" s="216"/>
      <c r="AA6" s="216"/>
      <c r="AB6" s="216"/>
    </row>
    <row r="7" spans="1:34" ht="21" customHeight="1" x14ac:dyDescent="0.25">
      <c r="A7" s="371"/>
      <c r="B7" s="223" t="s">
        <v>801</v>
      </c>
      <c r="C7" s="370" t="s">
        <v>727</v>
      </c>
      <c r="D7" s="369"/>
      <c r="E7" s="326" t="s">
        <v>759</v>
      </c>
      <c r="F7" s="326"/>
      <c r="G7" s="327"/>
      <c r="H7" s="219"/>
      <c r="I7" s="294"/>
      <c r="J7" s="295"/>
      <c r="K7" s="295"/>
      <c r="L7" s="295"/>
      <c r="M7" s="295"/>
      <c r="N7" s="295"/>
      <c r="O7" s="295"/>
      <c r="P7" s="295"/>
      <c r="Q7" s="295"/>
      <c r="R7" s="295"/>
      <c r="S7" s="295"/>
      <c r="T7" s="295"/>
      <c r="U7" s="295"/>
      <c r="V7" s="296"/>
      <c r="W7" s="216"/>
      <c r="X7" s="216"/>
      <c r="Y7" s="216"/>
      <c r="Z7" s="216"/>
      <c r="AA7" s="216"/>
      <c r="AB7" s="216"/>
    </row>
    <row r="8" spans="1:34" ht="21" customHeight="1" x14ac:dyDescent="0.25">
      <c r="A8" s="371"/>
      <c r="B8" s="223" t="s">
        <v>802</v>
      </c>
      <c r="C8" s="368" t="s">
        <v>988</v>
      </c>
      <c r="D8" s="369"/>
      <c r="E8" s="328">
        <v>0</v>
      </c>
      <c r="F8" s="328"/>
      <c r="G8" s="329"/>
      <c r="H8" s="219"/>
      <c r="I8" s="215"/>
      <c r="J8" s="216"/>
      <c r="K8" s="216"/>
      <c r="L8" s="216"/>
      <c r="M8" s="216"/>
      <c r="N8" s="216"/>
      <c r="O8" s="216"/>
      <c r="P8" s="216"/>
      <c r="Q8" s="216"/>
      <c r="R8" s="216"/>
      <c r="S8" s="216"/>
      <c r="T8" s="216"/>
      <c r="U8" s="216"/>
      <c r="V8" s="216"/>
      <c r="W8" s="216"/>
      <c r="X8" s="216"/>
      <c r="Y8" s="216"/>
      <c r="Z8" s="216"/>
      <c r="AA8" s="216"/>
      <c r="AB8" s="216"/>
    </row>
    <row r="9" spans="1:34" ht="21" customHeight="1" x14ac:dyDescent="0.25">
      <c r="A9" s="371"/>
      <c r="B9" s="223" t="s">
        <v>803</v>
      </c>
      <c r="C9" s="368" t="s">
        <v>773</v>
      </c>
      <c r="D9" s="369"/>
      <c r="E9" s="326" t="s">
        <v>832</v>
      </c>
      <c r="F9" s="326"/>
      <c r="G9" s="327"/>
      <c r="H9" s="219"/>
      <c r="I9" s="216"/>
      <c r="J9" s="216"/>
      <c r="K9" s="216"/>
      <c r="L9" s="216"/>
      <c r="M9" s="216"/>
      <c r="N9" s="216"/>
      <c r="O9" s="216"/>
      <c r="P9" s="216"/>
      <c r="Q9" s="216"/>
      <c r="R9" s="216"/>
      <c r="S9" s="216"/>
      <c r="T9" s="216"/>
      <c r="U9" s="216"/>
      <c r="V9" s="216"/>
      <c r="W9" s="216"/>
      <c r="X9" s="216"/>
      <c r="Y9" s="216"/>
      <c r="Z9" s="216"/>
      <c r="AA9" s="216"/>
      <c r="AB9" s="216"/>
    </row>
    <row r="10" spans="1:34" ht="21" customHeight="1" x14ac:dyDescent="0.25">
      <c r="A10" s="371"/>
      <c r="B10" s="223" t="s">
        <v>804</v>
      </c>
      <c r="C10" s="368" t="s">
        <v>989</v>
      </c>
      <c r="D10" s="369"/>
      <c r="E10" s="328">
        <v>0</v>
      </c>
      <c r="F10" s="328"/>
      <c r="G10" s="329"/>
      <c r="H10" s="219"/>
      <c r="I10" s="297" t="s">
        <v>1001</v>
      </c>
      <c r="J10" s="298"/>
      <c r="K10" s="298"/>
      <c r="L10" s="298"/>
      <c r="M10" s="298"/>
      <c r="N10" s="298"/>
      <c r="O10" s="298"/>
      <c r="P10" s="298"/>
      <c r="Q10" s="298"/>
      <c r="R10" s="298"/>
      <c r="S10" s="298"/>
      <c r="T10" s="299"/>
      <c r="U10" s="216"/>
      <c r="V10" s="216"/>
      <c r="W10" s="216"/>
      <c r="X10" s="216"/>
      <c r="Y10" s="216"/>
      <c r="Z10" s="216"/>
      <c r="AA10" s="216"/>
      <c r="AB10" s="216"/>
    </row>
    <row r="11" spans="1:34" ht="21" customHeight="1" x14ac:dyDescent="0.25">
      <c r="A11" s="371"/>
      <c r="B11" s="223" t="s">
        <v>805</v>
      </c>
      <c r="C11" s="209" t="s">
        <v>990</v>
      </c>
      <c r="D11" s="390" t="s">
        <v>836</v>
      </c>
      <c r="E11" s="309">
        <f>SUM(H20,L20,P20,T20,X20,AB20)</f>
        <v>0</v>
      </c>
      <c r="F11" s="377">
        <v>0</v>
      </c>
      <c r="G11" s="329"/>
      <c r="H11" s="219"/>
      <c r="I11" s="300"/>
      <c r="J11" s="301"/>
      <c r="K11" s="301"/>
      <c r="L11" s="301"/>
      <c r="M11" s="301"/>
      <c r="N11" s="301"/>
      <c r="O11" s="301"/>
      <c r="P11" s="301"/>
      <c r="Q11" s="301"/>
      <c r="R11" s="301"/>
      <c r="S11" s="301"/>
      <c r="T11" s="302"/>
      <c r="U11" s="216"/>
      <c r="V11" s="216"/>
      <c r="W11" s="216"/>
      <c r="X11" s="216"/>
      <c r="Y11" s="216"/>
      <c r="Z11" s="216"/>
      <c r="AA11" s="216"/>
      <c r="AB11" s="216"/>
    </row>
    <row r="12" spans="1:34" ht="21" customHeight="1" x14ac:dyDescent="0.25">
      <c r="A12" s="371"/>
      <c r="B12" s="223" t="s">
        <v>806</v>
      </c>
      <c r="C12" s="210" t="s">
        <v>835</v>
      </c>
      <c r="D12" s="391"/>
      <c r="E12" s="310"/>
      <c r="F12" s="392"/>
      <c r="G12" s="393"/>
      <c r="H12" s="219"/>
      <c r="I12" s="216"/>
      <c r="J12" s="216"/>
      <c r="K12" s="216"/>
      <c r="L12" s="216"/>
      <c r="M12" s="216"/>
      <c r="N12" s="216"/>
      <c r="O12" s="216"/>
      <c r="P12" s="216"/>
      <c r="Q12" s="216"/>
      <c r="R12" s="216"/>
      <c r="S12" s="216"/>
      <c r="T12" s="216"/>
      <c r="U12" s="216"/>
      <c r="V12" s="216"/>
      <c r="W12" s="216"/>
      <c r="X12" s="216"/>
      <c r="Y12" s="216"/>
      <c r="Z12" s="216"/>
      <c r="AA12" s="216"/>
      <c r="AB12" s="216"/>
    </row>
    <row r="13" spans="1:34" ht="24.95" customHeight="1" thickBot="1" x14ac:dyDescent="0.3">
      <c r="A13" s="371"/>
      <c r="B13" s="224" t="s">
        <v>807</v>
      </c>
      <c r="C13" s="319" t="s">
        <v>991</v>
      </c>
      <c r="D13" s="320"/>
      <c r="E13" s="321"/>
      <c r="F13" s="377">
        <v>0</v>
      </c>
      <c r="G13" s="329"/>
      <c r="H13" s="220"/>
      <c r="I13" s="216"/>
      <c r="J13" s="216"/>
      <c r="K13" s="216"/>
      <c r="L13" s="216"/>
      <c r="M13" s="216"/>
      <c r="N13" s="216"/>
      <c r="O13" s="216"/>
      <c r="P13" s="216"/>
      <c r="Q13" s="216"/>
      <c r="R13" s="216"/>
      <c r="S13" s="216"/>
      <c r="T13" s="216"/>
      <c r="U13" s="216"/>
      <c r="V13" s="216"/>
      <c r="W13" s="216"/>
      <c r="X13" s="216"/>
      <c r="Y13" s="216"/>
      <c r="Z13" s="216"/>
      <c r="AA13" s="216"/>
      <c r="AB13" s="216"/>
    </row>
    <row r="14" spans="1:34" ht="21" hidden="1" customHeight="1" thickBot="1" x14ac:dyDescent="0.55000000000000004">
      <c r="A14" s="371"/>
      <c r="B14" s="313" t="s">
        <v>979</v>
      </c>
      <c r="C14" s="314"/>
      <c r="D14" s="315"/>
      <c r="E14" s="315"/>
      <c r="F14" s="315"/>
      <c r="G14" s="316"/>
      <c r="H14" s="221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7"/>
    </row>
    <row r="15" spans="1:34" ht="21" customHeight="1" x14ac:dyDescent="0.3">
      <c r="A15" s="371"/>
      <c r="B15" s="225" t="s">
        <v>808</v>
      </c>
      <c r="C15" s="399" t="s">
        <v>992</v>
      </c>
      <c r="D15" s="400"/>
      <c r="E15" s="330">
        <v>0</v>
      </c>
      <c r="F15" s="330"/>
      <c r="G15" s="331"/>
      <c r="H15" s="394"/>
      <c r="I15" s="273" t="s">
        <v>994</v>
      </c>
      <c r="J15" s="273"/>
      <c r="K15" s="273"/>
      <c r="L15" s="273"/>
      <c r="M15" s="273"/>
      <c r="N15" s="273"/>
      <c r="O15" s="273"/>
      <c r="P15" s="273"/>
      <c r="Q15" s="273"/>
      <c r="R15" s="273"/>
      <c r="S15" s="273"/>
      <c r="T15" s="273"/>
      <c r="U15" s="273"/>
      <c r="V15" s="273"/>
      <c r="W15" s="273"/>
      <c r="X15" s="273"/>
      <c r="Y15" s="273"/>
      <c r="Z15" s="273"/>
      <c r="AA15" s="273"/>
      <c r="AB15" s="273"/>
    </row>
    <row r="16" spans="1:34" ht="21" customHeight="1" x14ac:dyDescent="0.3">
      <c r="A16" s="371"/>
      <c r="B16" s="226" t="s">
        <v>809</v>
      </c>
      <c r="C16" s="401" t="s">
        <v>724</v>
      </c>
      <c r="D16" s="401"/>
      <c r="E16" s="395" t="s">
        <v>962</v>
      </c>
      <c r="F16" s="395"/>
      <c r="G16" s="396"/>
      <c r="H16" s="394"/>
      <c r="I16" s="273" t="s">
        <v>995</v>
      </c>
      <c r="J16" s="273"/>
      <c r="K16" s="273"/>
      <c r="L16" s="273"/>
      <c r="M16" s="273"/>
      <c r="N16" s="273"/>
      <c r="O16" s="273"/>
      <c r="P16" s="273"/>
      <c r="Q16" s="273"/>
      <c r="R16" s="273"/>
      <c r="S16" s="273"/>
      <c r="T16" s="273"/>
      <c r="U16" s="273"/>
      <c r="V16" s="273"/>
      <c r="W16" s="273"/>
      <c r="X16" s="273"/>
      <c r="Y16" s="273"/>
      <c r="Z16" s="273"/>
      <c r="AA16" s="273"/>
      <c r="AB16" s="273"/>
    </row>
    <row r="17" spans="1:52" ht="21" customHeight="1" thickBot="1" x14ac:dyDescent="0.35">
      <c r="A17" s="372"/>
      <c r="B17" s="227" t="s">
        <v>810</v>
      </c>
      <c r="C17" s="402" t="s">
        <v>725</v>
      </c>
      <c r="D17" s="402"/>
      <c r="E17" s="397" t="s">
        <v>751</v>
      </c>
      <c r="F17" s="397"/>
      <c r="G17" s="398"/>
      <c r="H17" s="394"/>
      <c r="I17" s="273" t="s">
        <v>996</v>
      </c>
      <c r="J17" s="273"/>
      <c r="K17" s="273"/>
      <c r="L17" s="273"/>
      <c r="M17" s="273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273"/>
      <c r="AI17" s="332" t="s">
        <v>910</v>
      </c>
      <c r="AJ17" s="332"/>
      <c r="AK17" s="332"/>
      <c r="AL17" s="332" t="s">
        <v>918</v>
      </c>
      <c r="AM17" s="332"/>
      <c r="AN17" s="332"/>
      <c r="AO17" s="332" t="s">
        <v>919</v>
      </c>
      <c r="AP17" s="332"/>
      <c r="AQ17" s="332"/>
      <c r="AR17" s="332" t="s">
        <v>920</v>
      </c>
      <c r="AS17" s="332"/>
      <c r="AT17" s="332"/>
      <c r="AU17" s="332" t="s">
        <v>921</v>
      </c>
      <c r="AV17" s="332"/>
      <c r="AW17" s="332"/>
      <c r="AX17" s="332" t="s">
        <v>922</v>
      </c>
      <c r="AY17" s="332"/>
      <c r="AZ17" s="332"/>
    </row>
    <row r="18" spans="1:52" ht="15" customHeight="1" thickBot="1" x14ac:dyDescent="0.3">
      <c r="A18" s="389"/>
      <c r="B18" s="389"/>
      <c r="C18" s="389"/>
      <c r="D18" s="389"/>
      <c r="E18" s="389"/>
      <c r="F18" s="389"/>
      <c r="G18" s="389"/>
      <c r="H18" s="389"/>
      <c r="I18" s="389"/>
      <c r="J18" s="389"/>
      <c r="K18" s="389"/>
      <c r="L18" s="389"/>
      <c r="M18" s="389"/>
      <c r="N18" s="389"/>
      <c r="O18" s="389"/>
      <c r="P18" s="389"/>
      <c r="Q18" s="389"/>
      <c r="R18" s="389"/>
      <c r="S18" s="389"/>
      <c r="T18" s="389"/>
      <c r="U18" s="389"/>
      <c r="V18" s="389"/>
      <c r="W18" s="389"/>
      <c r="X18" s="389"/>
      <c r="Y18" s="389"/>
      <c r="Z18" s="389"/>
      <c r="AA18" s="389"/>
      <c r="AB18" s="389"/>
      <c r="AI18" s="2" t="s">
        <v>909</v>
      </c>
      <c r="AJ18" s="2" t="s">
        <v>1</v>
      </c>
      <c r="AK18" s="2" t="s">
        <v>766</v>
      </c>
      <c r="AL18" s="2" t="s">
        <v>909</v>
      </c>
      <c r="AM18" s="2" t="s">
        <v>1</v>
      </c>
      <c r="AN18" s="2" t="s">
        <v>766</v>
      </c>
      <c r="AO18" s="2" t="s">
        <v>909</v>
      </c>
      <c r="AP18" s="2" t="s">
        <v>1</v>
      </c>
      <c r="AQ18" s="2" t="s">
        <v>766</v>
      </c>
      <c r="AR18" s="2" t="s">
        <v>909</v>
      </c>
      <c r="AS18" s="2" t="s">
        <v>1</v>
      </c>
      <c r="AT18" s="2" t="s">
        <v>766</v>
      </c>
      <c r="AU18" s="2" t="s">
        <v>909</v>
      </c>
      <c r="AV18" s="2" t="s">
        <v>1</v>
      </c>
      <c r="AW18" s="2" t="s">
        <v>766</v>
      </c>
      <c r="AX18" s="2" t="s">
        <v>909</v>
      </c>
      <c r="AY18" s="2" t="s">
        <v>1</v>
      </c>
      <c r="AZ18" s="2" t="s">
        <v>766</v>
      </c>
    </row>
    <row r="19" spans="1:52" ht="30" customHeight="1" x14ac:dyDescent="0.25">
      <c r="A19" s="382" t="s">
        <v>978</v>
      </c>
      <c r="B19" s="373" t="s">
        <v>765</v>
      </c>
      <c r="C19" s="374"/>
      <c r="D19" s="151" t="s">
        <v>767</v>
      </c>
      <c r="E19" s="276" t="s">
        <v>928</v>
      </c>
      <c r="F19" s="277"/>
      <c r="G19" s="277"/>
      <c r="H19" s="152" t="s">
        <v>766</v>
      </c>
      <c r="I19" s="276" t="s">
        <v>929</v>
      </c>
      <c r="J19" s="277"/>
      <c r="K19" s="277"/>
      <c r="L19" s="152" t="s">
        <v>766</v>
      </c>
      <c r="M19" s="276" t="s">
        <v>930</v>
      </c>
      <c r="N19" s="277"/>
      <c r="O19" s="277"/>
      <c r="P19" s="152" t="s">
        <v>766</v>
      </c>
      <c r="Q19" s="276" t="s">
        <v>931</v>
      </c>
      <c r="R19" s="277"/>
      <c r="S19" s="277"/>
      <c r="T19" s="152" t="s">
        <v>766</v>
      </c>
      <c r="U19" s="276" t="s">
        <v>932</v>
      </c>
      <c r="V19" s="277"/>
      <c r="W19" s="277"/>
      <c r="X19" s="152" t="s">
        <v>766</v>
      </c>
      <c r="Y19" s="276" t="s">
        <v>933</v>
      </c>
      <c r="Z19" s="277"/>
      <c r="AA19" s="277"/>
      <c r="AB19" s="152" t="s">
        <v>766</v>
      </c>
      <c r="AH19" s="153"/>
      <c r="AI19" s="154" t="s">
        <v>20</v>
      </c>
      <c r="AJ19" s="155" t="s">
        <v>19</v>
      </c>
      <c r="AK19" s="2">
        <f>IF(AND($H$30=$F$187,$E$5=$H$187),$H$20,0)</f>
        <v>0</v>
      </c>
      <c r="AL19" s="154" t="s">
        <v>20</v>
      </c>
      <c r="AM19" s="155" t="s">
        <v>19</v>
      </c>
      <c r="AN19" s="2">
        <f>IF(AND($L$30=$F$187,$E$5=$H$187),$L$20,0)</f>
        <v>0</v>
      </c>
      <c r="AO19" s="154" t="s">
        <v>20</v>
      </c>
      <c r="AP19" s="155" t="s">
        <v>19</v>
      </c>
      <c r="AQ19" s="2">
        <f>IF(AND($P$30=$F$187,$E$5=$H$187),$P$20,0)</f>
        <v>0</v>
      </c>
      <c r="AR19" s="154" t="s">
        <v>20</v>
      </c>
      <c r="AS19" s="155" t="s">
        <v>19</v>
      </c>
      <c r="AT19" s="2">
        <f>IF(AND($T$30=$F$187,$E$5=$H$187),$T$20,0)</f>
        <v>0</v>
      </c>
      <c r="AU19" s="154" t="s">
        <v>20</v>
      </c>
      <c r="AV19" s="155" t="s">
        <v>19</v>
      </c>
      <c r="AW19" s="2">
        <f>IF(AND($X$30=$F$187,$E$5=$H$187),$X$20,0)</f>
        <v>0</v>
      </c>
      <c r="AX19" s="154" t="s">
        <v>20</v>
      </c>
      <c r="AY19" s="155" t="s">
        <v>19</v>
      </c>
      <c r="AZ19" s="2">
        <f>IF(AND($AB$30=$F$187,$E$5=$H$187),$AB$20,0)</f>
        <v>0</v>
      </c>
    </row>
    <row r="20" spans="1:52" ht="30" customHeight="1" x14ac:dyDescent="0.25">
      <c r="A20" s="383"/>
      <c r="B20" s="274"/>
      <c r="C20" s="275"/>
      <c r="D20" s="156">
        <v>0</v>
      </c>
      <c r="E20" s="335" t="s">
        <v>847</v>
      </c>
      <c r="F20" s="336"/>
      <c r="G20" s="336"/>
      <c r="H20" s="120">
        <v>0</v>
      </c>
      <c r="I20" s="335" t="s">
        <v>847</v>
      </c>
      <c r="J20" s="336"/>
      <c r="K20" s="336"/>
      <c r="L20" s="120">
        <v>0</v>
      </c>
      <c r="M20" s="335" t="s">
        <v>847</v>
      </c>
      <c r="N20" s="336"/>
      <c r="O20" s="336"/>
      <c r="P20" s="120">
        <v>0</v>
      </c>
      <c r="Q20" s="335" t="s">
        <v>847</v>
      </c>
      <c r="R20" s="336"/>
      <c r="S20" s="336"/>
      <c r="T20" s="120">
        <v>0</v>
      </c>
      <c r="U20" s="335" t="s">
        <v>847</v>
      </c>
      <c r="V20" s="336"/>
      <c r="W20" s="336"/>
      <c r="X20" s="120">
        <v>0</v>
      </c>
      <c r="Y20" s="335" t="s">
        <v>847</v>
      </c>
      <c r="Z20" s="336"/>
      <c r="AA20" s="336"/>
      <c r="AB20" s="120">
        <v>0</v>
      </c>
      <c r="AH20" s="101"/>
      <c r="AI20" s="154" t="s">
        <v>24</v>
      </c>
      <c r="AJ20" s="155" t="s">
        <v>23</v>
      </c>
      <c r="AK20" s="2">
        <f>IF(AND($H$30=$F$188,$E$5=$H$187),$H$20,0)</f>
        <v>0</v>
      </c>
      <c r="AL20" s="154" t="s">
        <v>24</v>
      </c>
      <c r="AM20" s="155" t="s">
        <v>23</v>
      </c>
      <c r="AN20" s="2">
        <f>IF(AND($L$30=$F$188,$E$5=$H$187),$L$20,0)</f>
        <v>0</v>
      </c>
      <c r="AO20" s="154" t="s">
        <v>24</v>
      </c>
      <c r="AP20" s="155" t="s">
        <v>23</v>
      </c>
      <c r="AQ20" s="2">
        <f>IF(AND($P$30=$F$188,$E$5=$H$187),$P$20,0)</f>
        <v>0</v>
      </c>
      <c r="AR20" s="154" t="s">
        <v>24</v>
      </c>
      <c r="AS20" s="155" t="s">
        <v>23</v>
      </c>
      <c r="AT20" s="2">
        <f>IF(AND($T$30=$F$188,$E$5=$H$187),$T$20,0)</f>
        <v>0</v>
      </c>
      <c r="AU20" s="154" t="s">
        <v>24</v>
      </c>
      <c r="AV20" s="155" t="s">
        <v>23</v>
      </c>
      <c r="AW20" s="2">
        <f>IF(AND($X$30=$F$188,$E$5=$H$187),$X$20,0)</f>
        <v>0</v>
      </c>
      <c r="AX20" s="154" t="s">
        <v>24</v>
      </c>
      <c r="AY20" s="155" t="s">
        <v>23</v>
      </c>
      <c r="AZ20" s="2">
        <f>IF(AND($AB$30=$F$188,$E$5=$H$187),$AB$20,0)</f>
        <v>0</v>
      </c>
    </row>
    <row r="21" spans="1:52" ht="30" customHeight="1" x14ac:dyDescent="0.25">
      <c r="A21" s="383"/>
      <c r="B21" s="380" t="s">
        <v>981</v>
      </c>
      <c r="C21" s="381"/>
      <c r="D21" s="256">
        <f>E15</f>
        <v>0</v>
      </c>
      <c r="E21" s="121">
        <v>0</v>
      </c>
      <c r="F21" s="122">
        <v>0</v>
      </c>
      <c r="G21" s="122">
        <v>0</v>
      </c>
      <c r="H21" s="120">
        <v>0</v>
      </c>
      <c r="I21" s="121">
        <v>0</v>
      </c>
      <c r="J21" s="121">
        <v>0</v>
      </c>
      <c r="K21" s="121">
        <v>0</v>
      </c>
      <c r="L21" s="121">
        <v>0</v>
      </c>
      <c r="M21" s="121">
        <v>0</v>
      </c>
      <c r="N21" s="122">
        <v>0</v>
      </c>
      <c r="O21" s="122">
        <v>0</v>
      </c>
      <c r="P21" s="120">
        <v>0</v>
      </c>
      <c r="Q21" s="121">
        <v>0</v>
      </c>
      <c r="R21" s="122">
        <v>0</v>
      </c>
      <c r="S21" s="122">
        <v>0</v>
      </c>
      <c r="T21" s="120">
        <v>0</v>
      </c>
      <c r="U21" s="121">
        <v>0</v>
      </c>
      <c r="V21" s="122">
        <v>0</v>
      </c>
      <c r="W21" s="122">
        <v>0</v>
      </c>
      <c r="X21" s="120">
        <v>0</v>
      </c>
      <c r="Y21" s="121">
        <v>0</v>
      </c>
      <c r="Z21" s="122">
        <v>0</v>
      </c>
      <c r="AA21" s="122">
        <v>0</v>
      </c>
      <c r="AB21" s="120">
        <v>0</v>
      </c>
      <c r="AH21" s="101"/>
      <c r="AI21" s="154" t="s">
        <v>26</v>
      </c>
      <c r="AJ21" s="155" t="s">
        <v>25</v>
      </c>
      <c r="AK21" s="2">
        <f>IF(AND($H$30=$F$187,$E$5=$H$188),$H$20,0)</f>
        <v>0</v>
      </c>
      <c r="AL21" s="154" t="s">
        <v>26</v>
      </c>
      <c r="AM21" s="155" t="s">
        <v>25</v>
      </c>
      <c r="AN21" s="2">
        <f>IF(AND($L$30=$F$187,$E$5=$H$188),$L$20,0)</f>
        <v>0</v>
      </c>
      <c r="AO21" s="154" t="s">
        <v>26</v>
      </c>
      <c r="AP21" s="155" t="s">
        <v>25</v>
      </c>
      <c r="AQ21" s="2">
        <f>IF(AND($P$30=$F$187,$E$5=$H$188),$P$20,0)</f>
        <v>0</v>
      </c>
      <c r="AR21" s="154" t="s">
        <v>26</v>
      </c>
      <c r="AS21" s="155" t="s">
        <v>25</v>
      </c>
      <c r="AT21" s="2">
        <f>IF(AND($T$30=$F$187,$E$5=$H$188),$T$20,0)</f>
        <v>0</v>
      </c>
      <c r="AU21" s="154" t="s">
        <v>26</v>
      </c>
      <c r="AV21" s="155" t="s">
        <v>25</v>
      </c>
      <c r="AW21" s="2">
        <f>IF(AND($X$30=$F$187,$E$5=$H$188),$X$20,0)</f>
        <v>0</v>
      </c>
      <c r="AX21" s="154" t="s">
        <v>26</v>
      </c>
      <c r="AY21" s="155" t="s">
        <v>25</v>
      </c>
      <c r="AZ21" s="2">
        <f>IF(AND($AB$30=$F$187,$E$5=$H$188),$AB$20,0)</f>
        <v>0</v>
      </c>
    </row>
    <row r="22" spans="1:52" ht="30" customHeight="1" x14ac:dyDescent="0.25">
      <c r="A22" s="383"/>
      <c r="B22" s="380" t="s">
        <v>997</v>
      </c>
      <c r="C22" s="381"/>
      <c r="D22" s="208">
        <v>0</v>
      </c>
      <c r="E22" s="121">
        <v>0</v>
      </c>
      <c r="F22" s="333" t="s">
        <v>754</v>
      </c>
      <c r="G22" s="333"/>
      <c r="H22" s="334"/>
      <c r="I22" s="121">
        <v>0</v>
      </c>
      <c r="J22" s="333" t="s">
        <v>754</v>
      </c>
      <c r="K22" s="333"/>
      <c r="L22" s="334"/>
      <c r="M22" s="121">
        <v>0</v>
      </c>
      <c r="N22" s="333" t="s">
        <v>754</v>
      </c>
      <c r="O22" s="333"/>
      <c r="P22" s="334"/>
      <c r="Q22" s="121">
        <v>0</v>
      </c>
      <c r="R22" s="333" t="s">
        <v>754</v>
      </c>
      <c r="S22" s="333"/>
      <c r="T22" s="334"/>
      <c r="U22" s="121">
        <v>0</v>
      </c>
      <c r="V22" s="333" t="s">
        <v>754</v>
      </c>
      <c r="W22" s="333"/>
      <c r="X22" s="334"/>
      <c r="Y22" s="121">
        <v>0</v>
      </c>
      <c r="Z22" s="333" t="s">
        <v>754</v>
      </c>
      <c r="AA22" s="333"/>
      <c r="AB22" s="334"/>
      <c r="AH22" s="102"/>
      <c r="AI22" s="154" t="s">
        <v>28</v>
      </c>
      <c r="AJ22" s="155" t="s">
        <v>27</v>
      </c>
      <c r="AK22" s="2">
        <f>IF(AND($H$30=$F$187,$E$5=$H$189),$H$20,0)</f>
        <v>0</v>
      </c>
      <c r="AL22" s="154" t="s">
        <v>28</v>
      </c>
      <c r="AM22" s="155" t="s">
        <v>27</v>
      </c>
      <c r="AN22" s="2">
        <f>IF(AND($L$30=$F$187,$E$5=$H$189),$L$20,0)</f>
        <v>0</v>
      </c>
      <c r="AO22" s="154" t="s">
        <v>28</v>
      </c>
      <c r="AP22" s="155" t="s">
        <v>27</v>
      </c>
      <c r="AQ22" s="2">
        <f>IF(AND($P$30=$F$187,$E$5=$H$189),$P$20,0)</f>
        <v>0</v>
      </c>
      <c r="AR22" s="154" t="s">
        <v>28</v>
      </c>
      <c r="AS22" s="155" t="s">
        <v>27</v>
      </c>
      <c r="AT22" s="2">
        <f>IF(AND($T$30=$F$187,$E$5=$H$189),$T$20,0)</f>
        <v>0</v>
      </c>
      <c r="AU22" s="154" t="s">
        <v>28</v>
      </c>
      <c r="AV22" s="155" t="s">
        <v>27</v>
      </c>
      <c r="AW22" s="2">
        <f>IF(AND($X$30=$F$187,$E$5=$H$189),$X$20,0)</f>
        <v>0</v>
      </c>
      <c r="AX22" s="154" t="s">
        <v>28</v>
      </c>
      <c r="AY22" s="155" t="s">
        <v>27</v>
      </c>
      <c r="AZ22" s="2">
        <f>IF(AND($AB$30=$F$187,$E$5=$H$189),$AB$20,0)</f>
        <v>0</v>
      </c>
    </row>
    <row r="23" spans="1:52" ht="30" customHeight="1" x14ac:dyDescent="0.25">
      <c r="A23" s="383"/>
      <c r="B23" s="274" t="s">
        <v>982</v>
      </c>
      <c r="C23" s="275"/>
      <c r="D23" s="257">
        <f>IF($E$15=0,0,IF($E$16=$D$168,IF($E$15&lt;=$N$153,$M$153,IF($E$15&lt;=$N$154,$M$154,IF($E$15&lt;=$N$155,$M$155,IF($E$15&lt;=$N$156,$M$156,IF($E$15&lt;=$N$157,$M$157,IF($E$15&lt;=$N$158,$M$158,IF($E$15&lt;=$N$159,$M$159,IF($E$15&lt;=$N$160,$M$160,IF($E$15&lt;=$N$161,$M$161,IF($E$15&lt;=$N$162,$M$162,"Свяжитесь с менеджером")))))))))),IF($E$15&lt;=$P$154,$M$154,IF($E$15&lt;=$P$155,$M$155,IF($E$15&lt;=$P$156,$M$156,IF($E$15&lt;=$P$157,$M$157,IF($E$15&lt;=$P$158,$M$158,IF($E$15&lt;=$P$159,$M$159,IF($E$15&lt;=$P$160,$M$160,IF($E$15&lt;=$P$161,$M$161,IF($E$15&lt;=$P$162,$M$162,"Попробуйте медь")))))))))))</f>
        <v>0</v>
      </c>
      <c r="E23" s="121">
        <v>0</v>
      </c>
      <c r="F23" s="333"/>
      <c r="G23" s="333"/>
      <c r="H23" s="334"/>
      <c r="I23" s="121">
        <v>0</v>
      </c>
      <c r="J23" s="333"/>
      <c r="K23" s="333"/>
      <c r="L23" s="334"/>
      <c r="M23" s="121">
        <v>0</v>
      </c>
      <c r="N23" s="333"/>
      <c r="O23" s="333"/>
      <c r="P23" s="334"/>
      <c r="Q23" s="121">
        <v>0</v>
      </c>
      <c r="R23" s="333"/>
      <c r="S23" s="333"/>
      <c r="T23" s="334"/>
      <c r="U23" s="121">
        <v>0</v>
      </c>
      <c r="V23" s="333"/>
      <c r="W23" s="333"/>
      <c r="X23" s="334"/>
      <c r="Y23" s="121">
        <v>0</v>
      </c>
      <c r="Z23" s="333"/>
      <c r="AA23" s="333"/>
      <c r="AB23" s="334"/>
      <c r="AH23" s="102"/>
      <c r="AI23" s="154" t="s">
        <v>30</v>
      </c>
      <c r="AJ23" s="155" t="s">
        <v>29</v>
      </c>
      <c r="AK23" s="2">
        <f>IF(AND($H$30=$F$188,$E$5=$H$188),$H$20,0)</f>
        <v>0</v>
      </c>
      <c r="AL23" s="154" t="s">
        <v>30</v>
      </c>
      <c r="AM23" s="155" t="s">
        <v>29</v>
      </c>
      <c r="AN23" s="2">
        <f>IF(AND($L$30=$F$188,$E$5=$H$188),$L$20,0)</f>
        <v>0</v>
      </c>
      <c r="AO23" s="154" t="s">
        <v>30</v>
      </c>
      <c r="AP23" s="155" t="s">
        <v>29</v>
      </c>
      <c r="AQ23" s="2">
        <f>IF(AND($P$30=$F$188,$E$5=$H$188),$P$20,0)</f>
        <v>0</v>
      </c>
      <c r="AR23" s="154" t="s">
        <v>30</v>
      </c>
      <c r="AS23" s="155" t="s">
        <v>29</v>
      </c>
      <c r="AT23" s="2">
        <f>IF(AND($T$30=$F$188,$E$5=$H$188),$T$20,0)</f>
        <v>0</v>
      </c>
      <c r="AU23" s="154" t="s">
        <v>30</v>
      </c>
      <c r="AV23" s="155" t="s">
        <v>29</v>
      </c>
      <c r="AW23" s="2">
        <f>IF(AND($X$30=$F$188,$E$5=$H$188),$X$20,0)</f>
        <v>0</v>
      </c>
      <c r="AX23" s="154" t="s">
        <v>30</v>
      </c>
      <c r="AY23" s="155" t="s">
        <v>29</v>
      </c>
      <c r="AZ23" s="2">
        <f>IF(AND($AB$30=$F$188,$E$5=$H$188),$AB$20,0)</f>
        <v>0</v>
      </c>
    </row>
    <row r="24" spans="1:52" ht="30" customHeight="1" thickBot="1" x14ac:dyDescent="0.3">
      <c r="A24" s="383"/>
      <c r="B24" s="375" t="s">
        <v>983</v>
      </c>
      <c r="C24" s="376"/>
      <c r="D24" s="258">
        <f>IF($E$15=0,0,IF($E$17=$D$175,D69*4,D69*5))</f>
        <v>0</v>
      </c>
      <c r="E24" s="121">
        <v>0</v>
      </c>
      <c r="F24" s="333"/>
      <c r="G24" s="333"/>
      <c r="H24" s="334"/>
      <c r="I24" s="121">
        <v>0</v>
      </c>
      <c r="J24" s="333"/>
      <c r="K24" s="333"/>
      <c r="L24" s="334"/>
      <c r="M24" s="121">
        <v>0</v>
      </c>
      <c r="N24" s="333"/>
      <c r="O24" s="333"/>
      <c r="P24" s="334"/>
      <c r="Q24" s="121">
        <v>0</v>
      </c>
      <c r="R24" s="333"/>
      <c r="S24" s="333"/>
      <c r="T24" s="334"/>
      <c r="U24" s="121">
        <v>0</v>
      </c>
      <c r="V24" s="333"/>
      <c r="W24" s="333"/>
      <c r="X24" s="334"/>
      <c r="Y24" s="121">
        <v>0</v>
      </c>
      <c r="Z24" s="333"/>
      <c r="AA24" s="333"/>
      <c r="AB24" s="334"/>
      <c r="AH24" s="102"/>
      <c r="AI24" s="154" t="s">
        <v>32</v>
      </c>
      <c r="AJ24" s="155" t="s">
        <v>31</v>
      </c>
      <c r="AK24" s="2">
        <f>IF(AND($H$30=$F$188,$E$5=$H$189),$H$20,0)</f>
        <v>0</v>
      </c>
      <c r="AL24" s="154" t="s">
        <v>32</v>
      </c>
      <c r="AM24" s="155" t="s">
        <v>31</v>
      </c>
      <c r="AN24" s="2">
        <f>IF(AND($L$30=$F$188,$E$5=$H$189),$L$20,0)</f>
        <v>0</v>
      </c>
      <c r="AO24" s="154" t="s">
        <v>32</v>
      </c>
      <c r="AP24" s="155" t="s">
        <v>31</v>
      </c>
      <c r="AQ24" s="2">
        <f>IF(AND($P$30=$F$188,$E$5=$H$189),$P$20,0)</f>
        <v>0</v>
      </c>
      <c r="AR24" s="154" t="s">
        <v>32</v>
      </c>
      <c r="AS24" s="155" t="s">
        <v>31</v>
      </c>
      <c r="AT24" s="2">
        <f>IF(AND($T$30=$F$188,$E$5=$H$189),$T$20,0)</f>
        <v>0</v>
      </c>
      <c r="AU24" s="154" t="s">
        <v>32</v>
      </c>
      <c r="AV24" s="155" t="s">
        <v>31</v>
      </c>
      <c r="AW24" s="2">
        <f>IF(AND($X$30=$F$188,$E$5=$H$189),$X$20,0)</f>
        <v>0</v>
      </c>
      <c r="AX24" s="154" t="s">
        <v>32</v>
      </c>
      <c r="AY24" s="155" t="s">
        <v>31</v>
      </c>
      <c r="AZ24" s="2">
        <f>IF(AND($AB$30=$F$188,$E$5=$H$189),$AB$20,0)</f>
        <v>0</v>
      </c>
    </row>
    <row r="25" spans="1:52" ht="30" customHeight="1" x14ac:dyDescent="0.25">
      <c r="A25" s="383"/>
      <c r="B25" s="419"/>
      <c r="C25" s="420"/>
      <c r="D25" s="421"/>
      <c r="E25" s="121">
        <v>0</v>
      </c>
      <c r="F25" s="333"/>
      <c r="G25" s="333"/>
      <c r="H25" s="334"/>
      <c r="I25" s="121">
        <v>0</v>
      </c>
      <c r="J25" s="333"/>
      <c r="K25" s="333"/>
      <c r="L25" s="334"/>
      <c r="M25" s="121">
        <v>0</v>
      </c>
      <c r="N25" s="333"/>
      <c r="O25" s="333"/>
      <c r="P25" s="334"/>
      <c r="Q25" s="121">
        <v>0</v>
      </c>
      <c r="R25" s="333"/>
      <c r="S25" s="333"/>
      <c r="T25" s="334"/>
      <c r="U25" s="121">
        <v>0</v>
      </c>
      <c r="V25" s="333"/>
      <c r="W25" s="333"/>
      <c r="X25" s="334"/>
      <c r="Y25" s="121">
        <v>0</v>
      </c>
      <c r="Z25" s="333"/>
      <c r="AA25" s="333"/>
      <c r="AB25" s="334"/>
      <c r="AH25" s="102"/>
      <c r="AI25" s="154" t="s">
        <v>34</v>
      </c>
      <c r="AJ25" s="155" t="s">
        <v>33</v>
      </c>
      <c r="AK25" s="2">
        <f>IF(AND($H$30=$F$189,$E$5=$H$187),$H$20,0)</f>
        <v>0</v>
      </c>
      <c r="AL25" s="154" t="s">
        <v>34</v>
      </c>
      <c r="AM25" s="155" t="s">
        <v>33</v>
      </c>
      <c r="AN25" s="2">
        <f>IF(AND($L$30=$F$189,$E$5=$H$187),$L$20,0)</f>
        <v>0</v>
      </c>
      <c r="AO25" s="154" t="s">
        <v>34</v>
      </c>
      <c r="AP25" s="155" t="s">
        <v>33</v>
      </c>
      <c r="AQ25" s="2">
        <f>IF(AND($P$30=$F$189,$E$5=$H$187),$P$20,0)</f>
        <v>0</v>
      </c>
      <c r="AR25" s="154" t="s">
        <v>34</v>
      </c>
      <c r="AS25" s="155" t="s">
        <v>33</v>
      </c>
      <c r="AT25" s="2">
        <f>IF(AND($T$30=$F$189,$E$5=$H$187),$T$20,0)</f>
        <v>0</v>
      </c>
      <c r="AU25" s="154" t="s">
        <v>34</v>
      </c>
      <c r="AV25" s="155" t="s">
        <v>33</v>
      </c>
      <c r="AW25" s="2">
        <f>IF(AND($X$30=$F$189,$E$5=$H$187),$X$20,0)</f>
        <v>0</v>
      </c>
      <c r="AX25" s="154" t="s">
        <v>34</v>
      </c>
      <c r="AY25" s="155" t="s">
        <v>33</v>
      </c>
      <c r="AZ25" s="2">
        <f>IF(AND($AB$30=$F$189,$E$5=$H$187),$AB$20,0)</f>
        <v>0</v>
      </c>
    </row>
    <row r="26" spans="1:52" ht="30" customHeight="1" x14ac:dyDescent="0.25">
      <c r="A26" s="383"/>
      <c r="B26" s="403"/>
      <c r="C26" s="332"/>
      <c r="D26" s="422"/>
      <c r="E26" s="121">
        <v>0</v>
      </c>
      <c r="F26" s="333"/>
      <c r="G26" s="333"/>
      <c r="H26" s="334"/>
      <c r="I26" s="121">
        <v>0</v>
      </c>
      <c r="J26" s="333"/>
      <c r="K26" s="333"/>
      <c r="L26" s="334"/>
      <c r="M26" s="121">
        <v>0</v>
      </c>
      <c r="N26" s="333"/>
      <c r="O26" s="333"/>
      <c r="P26" s="334"/>
      <c r="Q26" s="121">
        <v>0</v>
      </c>
      <c r="R26" s="333"/>
      <c r="S26" s="333"/>
      <c r="T26" s="334"/>
      <c r="U26" s="121">
        <v>0</v>
      </c>
      <c r="V26" s="333"/>
      <c r="W26" s="333"/>
      <c r="X26" s="334"/>
      <c r="Y26" s="121">
        <v>0</v>
      </c>
      <c r="Z26" s="333"/>
      <c r="AA26" s="333"/>
      <c r="AB26" s="334"/>
      <c r="AH26" s="102"/>
      <c r="AI26" s="154" t="s">
        <v>36</v>
      </c>
      <c r="AJ26" s="155" t="s">
        <v>35</v>
      </c>
      <c r="AK26" s="2">
        <f>IF(AND($H$30=$F$189,$E$5=$H$188),$H$20,0)</f>
        <v>0</v>
      </c>
      <c r="AL26" s="154" t="s">
        <v>36</v>
      </c>
      <c r="AM26" s="155" t="s">
        <v>35</v>
      </c>
      <c r="AN26" s="2">
        <f>IF(AND($L$30=$F$189,$E$5=$H$188),$L$20,0)</f>
        <v>0</v>
      </c>
      <c r="AO26" s="154" t="s">
        <v>36</v>
      </c>
      <c r="AP26" s="155" t="s">
        <v>35</v>
      </c>
      <c r="AQ26" s="2">
        <f>IF(AND($P$30=$F$189,$E$5=$H$188),$P$20,0)</f>
        <v>0</v>
      </c>
      <c r="AR26" s="154" t="s">
        <v>36</v>
      </c>
      <c r="AS26" s="155" t="s">
        <v>35</v>
      </c>
      <c r="AT26" s="2">
        <f>IF(AND($T$30=$F$189,$E$5=$H$188),$T$20,0)</f>
        <v>0</v>
      </c>
      <c r="AU26" s="154" t="s">
        <v>36</v>
      </c>
      <c r="AV26" s="155" t="s">
        <v>35</v>
      </c>
      <c r="AW26" s="2">
        <f>IF(AND($X$30=$F$189,$E$5=$H$188),$X$20,0)</f>
        <v>0</v>
      </c>
      <c r="AX26" s="154" t="s">
        <v>36</v>
      </c>
      <c r="AY26" s="155" t="s">
        <v>35</v>
      </c>
      <c r="AZ26" s="2">
        <f>IF(AND($AB$30=$F$189,$E$5=$H$188),$AB$20,0)</f>
        <v>0</v>
      </c>
    </row>
    <row r="27" spans="1:52" ht="30" customHeight="1" x14ac:dyDescent="0.25">
      <c r="A27" s="383"/>
      <c r="B27" s="403"/>
      <c r="C27" s="332"/>
      <c r="D27" s="422"/>
      <c r="E27" s="123">
        <v>0</v>
      </c>
      <c r="F27" s="124">
        <v>0</v>
      </c>
      <c r="G27" s="124">
        <v>0</v>
      </c>
      <c r="H27" s="125">
        <v>0</v>
      </c>
      <c r="I27" s="123">
        <v>0</v>
      </c>
      <c r="J27" s="124">
        <v>0</v>
      </c>
      <c r="K27" s="124">
        <v>0</v>
      </c>
      <c r="L27" s="125">
        <v>0</v>
      </c>
      <c r="M27" s="123">
        <v>0</v>
      </c>
      <c r="N27" s="124">
        <v>0</v>
      </c>
      <c r="O27" s="124">
        <v>0</v>
      </c>
      <c r="P27" s="125">
        <v>0</v>
      </c>
      <c r="Q27" s="123">
        <v>0</v>
      </c>
      <c r="R27" s="124">
        <v>0</v>
      </c>
      <c r="S27" s="124">
        <v>0</v>
      </c>
      <c r="T27" s="125">
        <v>0</v>
      </c>
      <c r="U27" s="123">
        <v>0</v>
      </c>
      <c r="V27" s="124">
        <v>0</v>
      </c>
      <c r="W27" s="124">
        <v>0</v>
      </c>
      <c r="X27" s="125">
        <v>0</v>
      </c>
      <c r="Y27" s="123">
        <v>0</v>
      </c>
      <c r="Z27" s="124">
        <v>0</v>
      </c>
      <c r="AA27" s="124">
        <v>0</v>
      </c>
      <c r="AB27" s="125">
        <v>0</v>
      </c>
      <c r="AH27" s="103"/>
      <c r="AI27" s="154" t="s">
        <v>38</v>
      </c>
      <c r="AJ27" s="155" t="s">
        <v>37</v>
      </c>
      <c r="AK27" s="2">
        <f>IF(AND($H$30=$F$189,$E$5=$H$189),$H$20,0)</f>
        <v>0</v>
      </c>
      <c r="AL27" s="154" t="s">
        <v>38</v>
      </c>
      <c r="AM27" s="155" t="s">
        <v>37</v>
      </c>
      <c r="AN27" s="2">
        <f>IF(AND($L$30=$F$189,$E$5=$H$189),$L$20,0)</f>
        <v>0</v>
      </c>
      <c r="AO27" s="154" t="s">
        <v>38</v>
      </c>
      <c r="AP27" s="155" t="s">
        <v>37</v>
      </c>
      <c r="AQ27" s="2">
        <f>IF(AND($P$30=$F$189,$E$5=$H$189),$P$20,0)</f>
        <v>0</v>
      </c>
      <c r="AR27" s="154" t="s">
        <v>38</v>
      </c>
      <c r="AS27" s="155" t="s">
        <v>37</v>
      </c>
      <c r="AT27" s="2">
        <f>IF(AND($T$30=$F$189,$E$5=$H$189),$T$20,0)</f>
        <v>0</v>
      </c>
      <c r="AU27" s="154" t="s">
        <v>38</v>
      </c>
      <c r="AV27" s="155" t="s">
        <v>37</v>
      </c>
      <c r="AW27" s="2">
        <f>IF(AND($X$30=$F$189,$E$5=$H$189),$X$20,0)</f>
        <v>0</v>
      </c>
      <c r="AX27" s="154" t="s">
        <v>38</v>
      </c>
      <c r="AY27" s="155" t="s">
        <v>37</v>
      </c>
      <c r="AZ27" s="2">
        <f>IF(AND($AB$30=$F$189,$E$5=$H$189),$AB$20,0)</f>
        <v>0</v>
      </c>
    </row>
    <row r="28" spans="1:52" ht="30" customHeight="1" x14ac:dyDescent="0.25">
      <c r="A28" s="383"/>
      <c r="B28" s="403"/>
      <c r="C28" s="332"/>
      <c r="D28" s="422"/>
      <c r="E28" s="337"/>
      <c r="F28" s="338"/>
      <c r="G28" s="338"/>
      <c r="H28" s="339"/>
      <c r="I28" s="337"/>
      <c r="J28" s="338"/>
      <c r="K28" s="338"/>
      <c r="L28" s="339"/>
      <c r="M28" s="337"/>
      <c r="N28" s="338"/>
      <c r="O28" s="338"/>
      <c r="P28" s="339"/>
      <c r="Q28" s="337"/>
      <c r="R28" s="338"/>
      <c r="S28" s="338"/>
      <c r="T28" s="339"/>
      <c r="U28" s="337"/>
      <c r="V28" s="338"/>
      <c r="W28" s="338"/>
      <c r="X28" s="339"/>
      <c r="Y28" s="337"/>
      <c r="Z28" s="338"/>
      <c r="AA28" s="338"/>
      <c r="AB28" s="339"/>
      <c r="AH28" s="104"/>
      <c r="AI28" s="154" t="s">
        <v>40</v>
      </c>
      <c r="AJ28" s="155" t="s">
        <v>39</v>
      </c>
      <c r="AK28" s="2">
        <f>IF(AND($H$30=$F$190,$E$5=$H$187),$H$20,0)</f>
        <v>0</v>
      </c>
      <c r="AL28" s="154" t="s">
        <v>40</v>
      </c>
      <c r="AM28" s="155" t="s">
        <v>39</v>
      </c>
      <c r="AN28" s="2">
        <f>IF(AND($L$30=$F$190,$E$5=$H$187),$L$20,0)</f>
        <v>0</v>
      </c>
      <c r="AO28" s="154" t="s">
        <v>40</v>
      </c>
      <c r="AP28" s="155" t="s">
        <v>39</v>
      </c>
      <c r="AQ28" s="2">
        <f>IF(AND($P$30=$F$190,$E$5=$H$187),$P$20,0)</f>
        <v>0</v>
      </c>
      <c r="AR28" s="154" t="s">
        <v>40</v>
      </c>
      <c r="AS28" s="155" t="s">
        <v>39</v>
      </c>
      <c r="AT28" s="2">
        <f>IF(AND($T$30=$F$190,$E$5=$H$187),$T$20,0)</f>
        <v>0</v>
      </c>
      <c r="AU28" s="154" t="s">
        <v>40</v>
      </c>
      <c r="AV28" s="155" t="s">
        <v>39</v>
      </c>
      <c r="AW28" s="2">
        <f>IF(AND($X$30=$F$190,$E$5=$H$187),$X$20,0)</f>
        <v>0</v>
      </c>
      <c r="AX28" s="154" t="s">
        <v>40</v>
      </c>
      <c r="AY28" s="155" t="s">
        <v>39</v>
      </c>
      <c r="AZ28" s="2">
        <f>IF(AND($AB$30=$F$190,$E$5=$H$187),$AB$20,0)</f>
        <v>0</v>
      </c>
    </row>
    <row r="29" spans="1:52" ht="30" customHeight="1" thickBot="1" x14ac:dyDescent="0.3">
      <c r="A29" s="383"/>
      <c r="B29" s="403"/>
      <c r="C29" s="332"/>
      <c r="D29" s="423"/>
      <c r="E29" s="340"/>
      <c r="F29" s="341"/>
      <c r="G29" s="341"/>
      <c r="H29" s="342"/>
      <c r="I29" s="340"/>
      <c r="J29" s="341"/>
      <c r="K29" s="341"/>
      <c r="L29" s="342"/>
      <c r="M29" s="340"/>
      <c r="N29" s="341"/>
      <c r="O29" s="341"/>
      <c r="P29" s="342"/>
      <c r="Q29" s="340"/>
      <c r="R29" s="341"/>
      <c r="S29" s="341"/>
      <c r="T29" s="342"/>
      <c r="U29" s="340"/>
      <c r="V29" s="341"/>
      <c r="W29" s="341"/>
      <c r="X29" s="342"/>
      <c r="Y29" s="340"/>
      <c r="Z29" s="341"/>
      <c r="AA29" s="341"/>
      <c r="AB29" s="342"/>
      <c r="AH29" s="105"/>
      <c r="AI29" s="154" t="s">
        <v>42</v>
      </c>
      <c r="AJ29" s="155" t="s">
        <v>41</v>
      </c>
      <c r="AK29" s="2">
        <f>IF(AND($H$30=$F$190,$E$5=$H$188),$H$20,0)</f>
        <v>0</v>
      </c>
      <c r="AL29" s="154" t="s">
        <v>42</v>
      </c>
      <c r="AM29" s="155" t="s">
        <v>41</v>
      </c>
      <c r="AN29" s="2">
        <f>IF(AND($L$30=$F$190,$E$5=$H$188),$L$20,0)</f>
        <v>0</v>
      </c>
      <c r="AO29" s="154" t="s">
        <v>42</v>
      </c>
      <c r="AP29" s="155" t="s">
        <v>41</v>
      </c>
      <c r="AQ29" s="2">
        <f>IF(AND($P$30=$F$190,$E$5=$H$188),$P$20,0)</f>
        <v>0</v>
      </c>
      <c r="AR29" s="154" t="s">
        <v>42</v>
      </c>
      <c r="AS29" s="155" t="s">
        <v>41</v>
      </c>
      <c r="AT29" s="2">
        <f>IF(AND($T$30=$F$190,$E$5=$H$188),$T$20,0)</f>
        <v>0</v>
      </c>
      <c r="AU29" s="154" t="s">
        <v>42</v>
      </c>
      <c r="AV29" s="155" t="s">
        <v>41</v>
      </c>
      <c r="AW29" s="2">
        <f>IF(AND($X$30=$F$190,$E$5=$H$188),$X$20,0)</f>
        <v>0</v>
      </c>
      <c r="AX29" s="154" t="s">
        <v>42</v>
      </c>
      <c r="AY29" s="155" t="s">
        <v>41</v>
      </c>
      <c r="AZ29" s="2">
        <f>IF(AND($AB$30=$F$190,$E$5=$H$188),$AB$20,0)</f>
        <v>0</v>
      </c>
    </row>
    <row r="30" spans="1:52" ht="30" customHeight="1" x14ac:dyDescent="0.25">
      <c r="A30" s="383"/>
      <c r="B30" s="403"/>
      <c r="C30" s="332"/>
      <c r="D30" s="385" t="s">
        <v>1000</v>
      </c>
      <c r="E30" s="278" t="s">
        <v>1002</v>
      </c>
      <c r="F30" s="279"/>
      <c r="G30" s="280"/>
      <c r="H30" s="260">
        <v>400</v>
      </c>
      <c r="I30" s="278" t="s">
        <v>1002</v>
      </c>
      <c r="J30" s="279"/>
      <c r="K30" s="280"/>
      <c r="L30" s="260">
        <v>800</v>
      </c>
      <c r="M30" s="278" t="s">
        <v>1002</v>
      </c>
      <c r="N30" s="279"/>
      <c r="O30" s="280"/>
      <c r="P30" s="260">
        <v>400</v>
      </c>
      <c r="Q30" s="278" t="s">
        <v>1002</v>
      </c>
      <c r="R30" s="279"/>
      <c r="S30" s="280"/>
      <c r="T30" s="260">
        <v>300</v>
      </c>
      <c r="U30" s="278" t="s">
        <v>1002</v>
      </c>
      <c r="V30" s="279"/>
      <c r="W30" s="280"/>
      <c r="X30" s="260">
        <v>400</v>
      </c>
      <c r="Y30" s="278" t="s">
        <v>1002</v>
      </c>
      <c r="Z30" s="279"/>
      <c r="AA30" s="280"/>
      <c r="AB30" s="260">
        <v>400</v>
      </c>
      <c r="AI30" s="154" t="s">
        <v>44</v>
      </c>
      <c r="AJ30" s="155" t="s">
        <v>43</v>
      </c>
      <c r="AK30" s="2">
        <f>IF(AND($H$30=$F$190,$E$5=$H$189),$H$20,0)</f>
        <v>0</v>
      </c>
      <c r="AL30" s="154" t="s">
        <v>44</v>
      </c>
      <c r="AM30" s="155" t="s">
        <v>43</v>
      </c>
      <c r="AN30" s="2">
        <f>IF(AND($L$30=$F$190,$E$5=$H$189),$L$20,0)</f>
        <v>0</v>
      </c>
      <c r="AO30" s="154" t="s">
        <v>44</v>
      </c>
      <c r="AP30" s="155" t="s">
        <v>43</v>
      </c>
      <c r="AQ30" s="2">
        <f>IF(AND($P$30=$F$190,$E$5=$H$189),$P$20,0)</f>
        <v>0</v>
      </c>
      <c r="AR30" s="154" t="s">
        <v>44</v>
      </c>
      <c r="AS30" s="155" t="s">
        <v>43</v>
      </c>
      <c r="AT30" s="2">
        <f>IF(AND($T$30=$F$190,$E$5=$H$189),$T$20,0)</f>
        <v>0</v>
      </c>
      <c r="AU30" s="154" t="s">
        <v>44</v>
      </c>
      <c r="AV30" s="155" t="s">
        <v>43</v>
      </c>
      <c r="AW30" s="2">
        <f>IF(AND($X$30=$F$190,$E$5=$H$189),$X$20,0)</f>
        <v>0</v>
      </c>
      <c r="AX30" s="154" t="s">
        <v>44</v>
      </c>
      <c r="AY30" s="155" t="s">
        <v>43</v>
      </c>
      <c r="AZ30" s="2">
        <f>IF(AND($AB$30=$F$190,$E$5=$H$189),$AB$20,0)</f>
        <v>0</v>
      </c>
    </row>
    <row r="31" spans="1:52" ht="30" customHeight="1" x14ac:dyDescent="0.25">
      <c r="A31" s="383"/>
      <c r="B31" s="403"/>
      <c r="C31" s="332"/>
      <c r="D31" s="386"/>
      <c r="E31" s="343" t="s">
        <v>937</v>
      </c>
      <c r="F31" s="344"/>
      <c r="G31" s="344"/>
      <c r="H31" s="261">
        <f>IF($H$20&lt;&gt;0,IF(OR(E20=$K$151,E20=$K$152,E20=$K$153,E20=$K$154,E20=$K$160,E20=$K$161),$E$15,IF(F22=$D$179,SUM(H21,G21,F21,E21,E22,E23,E24,E25,E26,E27,F27,G27,H27,150),SUM(H21,G21,F21,E21,E22,E23,E24,E25,E26,E27,F27,G27,H27))),0)</f>
        <v>0</v>
      </c>
      <c r="I31" s="345" t="s">
        <v>769</v>
      </c>
      <c r="J31" s="346"/>
      <c r="K31" s="346"/>
      <c r="L31" s="261">
        <f>IF($L$20&lt;&gt;0,IF(OR(I20=$K$151,I20=$K$152,I20=$K$153,I20=$K$154,I20=$K$160,I20=$K$161),$E$15,IF(J22=$D$179,SUM(L21,K21,J21,I21,I22,I23,I24,I25,I26,I27,J27,K27,L27,150),SUM(L21,K21,J21,I21,I22,I23,I24,I25,I26,I27,J27,K27,L27))),0)</f>
        <v>0</v>
      </c>
      <c r="M31" s="343" t="s">
        <v>769</v>
      </c>
      <c r="N31" s="344"/>
      <c r="O31" s="344"/>
      <c r="P31" s="261">
        <f>IF($P$20&lt;&gt;0,IF(OR(M20=$K$151,M20=$K$152,M20=$K$153,M20=$K$154,M20=$K$160,M20=$K$161),$E$15,IF(N22=$D$179,SUM(P21,O21,N21,M21,M22,M23,M24,M25,M26,M27,N27,O27,P27,150),SUM(P21,O21,N21,M21,M22,M23,M24,M25,M26,M27,N27,O27,P27))),0)</f>
        <v>0</v>
      </c>
      <c r="Q31" s="343" t="s">
        <v>769</v>
      </c>
      <c r="R31" s="344"/>
      <c r="S31" s="344"/>
      <c r="T31" s="261">
        <f>IF($T$20&lt;&gt;0,IF(OR(Q20=$K$151,Q20=$K$152,Q20=$K$153,Q20=$K$154,Q20=$K$160,Q20=$K$161),$E$15,IF(R22=$D$179,SUM(T21,S21,R21,Q21,Q22,Q23,Q24,Q25,Q26,Q27,R27,S27,T27,150),SUM(T21,S21,R21,Q21,Q22,Q23,Q24,Q25,Q26,Q27,R27,S27,T27))),0)</f>
        <v>0</v>
      </c>
      <c r="U31" s="343" t="s">
        <v>769</v>
      </c>
      <c r="V31" s="344"/>
      <c r="W31" s="344"/>
      <c r="X31" s="261">
        <f>IF($X$20&lt;&gt;0,IF(OR(U20=$K$151,U20=$K$152,U20=$K$153,U20=$K$154,U20=$K$160,U20=$K$161),$E$15,IF(V22=$D$179,SUM(X21,W21,V21,U21,U22,U23,U24,U25,U26,U27,V27,W27,X27,150),SUM(X21,W21,V21,U21,U22,U23,U24,U25,U26,U27,V27,W27,X27))),0)</f>
        <v>0</v>
      </c>
      <c r="Y31" s="343" t="s">
        <v>769</v>
      </c>
      <c r="Z31" s="344"/>
      <c r="AA31" s="344"/>
      <c r="AB31" s="261">
        <f>IF($AB$20&lt;&gt;0,IF(OR(Y20=$K$151,Y20=$K$152,Y20=$K$153,Y20=$K$154,Y20=$K$160,Y20=$K$161),$E$15,IF(Z22=$D$179,SUM(AB21,AA21,Z21,Y21,Y22,Y23,Y24,Y25,Y26,Y27,Z27,AA27,AB27,150),SUM(AB21,AA21,Z21,Y21,Y22,Y23,Y24,Y25,Y26,Y27,Z27,AA27,AB27))),0)</f>
        <v>0</v>
      </c>
      <c r="AI31" s="154" t="s">
        <v>46</v>
      </c>
      <c r="AJ31" s="155" t="s">
        <v>45</v>
      </c>
      <c r="AK31" s="2">
        <f>IF($E$4=$G$187,$H$20,0)</f>
        <v>0</v>
      </c>
      <c r="AL31" s="154" t="s">
        <v>46</v>
      </c>
      <c r="AM31" s="155" t="s">
        <v>45</v>
      </c>
      <c r="AN31" s="2">
        <f>IF($E$4=$G$187,$L$20,0)</f>
        <v>0</v>
      </c>
      <c r="AO31" s="154" t="s">
        <v>46</v>
      </c>
      <c r="AP31" s="155" t="s">
        <v>45</v>
      </c>
      <c r="AQ31" s="2">
        <f>IF($E$4=$G$187,$P$20,0)</f>
        <v>0</v>
      </c>
      <c r="AR31" s="154" t="s">
        <v>46</v>
      </c>
      <c r="AS31" s="155" t="s">
        <v>45</v>
      </c>
      <c r="AT31" s="2">
        <f>IF($E$4=$G$187,$T$20,0)</f>
        <v>0</v>
      </c>
      <c r="AU31" s="154" t="s">
        <v>46</v>
      </c>
      <c r="AV31" s="155" t="s">
        <v>45</v>
      </c>
      <c r="AW31" s="2">
        <f>IF($E$4=$G$187,$X$20,0)</f>
        <v>0</v>
      </c>
      <c r="AX31" s="154" t="s">
        <v>46</v>
      </c>
      <c r="AY31" s="155" t="s">
        <v>45</v>
      </c>
      <c r="AZ31" s="2">
        <f>IF($E$4=$G$187,$AB$20,0)</f>
        <v>0</v>
      </c>
    </row>
    <row r="32" spans="1:52" ht="30" customHeight="1" x14ac:dyDescent="0.25">
      <c r="A32" s="383"/>
      <c r="B32" s="403"/>
      <c r="C32" s="332"/>
      <c r="D32" s="386"/>
      <c r="E32" s="343" t="s">
        <v>936</v>
      </c>
      <c r="F32" s="344"/>
      <c r="G32" s="344"/>
      <c r="H32" s="261">
        <f>IF($E$15=0,0,IF($E$17=$D$175,H69*4*H20,H69*5*H20))</f>
        <v>0</v>
      </c>
      <c r="I32" s="343" t="s">
        <v>781</v>
      </c>
      <c r="J32" s="344"/>
      <c r="K32" s="344"/>
      <c r="L32" s="261">
        <f>IF($E$15=0,0,IF($E$17=$D$175,L69*4*L20,L69*5*L20))</f>
        <v>0</v>
      </c>
      <c r="M32" s="343" t="s">
        <v>781</v>
      </c>
      <c r="N32" s="344"/>
      <c r="O32" s="344"/>
      <c r="P32" s="261">
        <f>IF($E$15=0,0,IF($E$17=$D$175,P69*4*P20,P69*5*P20))</f>
        <v>0</v>
      </c>
      <c r="Q32" s="343" t="s">
        <v>781</v>
      </c>
      <c r="R32" s="344"/>
      <c r="S32" s="344"/>
      <c r="T32" s="261">
        <f>IF($E$15=0,0,IF($E$17=$D$175,T69*4*T20,T69*5*T20))</f>
        <v>0</v>
      </c>
      <c r="U32" s="343" t="s">
        <v>781</v>
      </c>
      <c r="V32" s="344"/>
      <c r="W32" s="344"/>
      <c r="X32" s="261">
        <f>IF($E$15=0,0,IF($E$17=$D$175,X69*4*X20,X69*5*X20))</f>
        <v>0</v>
      </c>
      <c r="Y32" s="343" t="s">
        <v>781</v>
      </c>
      <c r="Z32" s="344"/>
      <c r="AA32" s="344"/>
      <c r="AB32" s="261">
        <f>IF($E$15=0,0,IF($E$17=$D$175,AB69*4*AB20,AB69*5*AB20))</f>
        <v>0</v>
      </c>
      <c r="AI32" s="154" t="s">
        <v>49</v>
      </c>
      <c r="AJ32" s="155" t="s">
        <v>48</v>
      </c>
      <c r="AK32" s="2">
        <f>IF($E$4=$G$188,$H$20,0)</f>
        <v>0</v>
      </c>
      <c r="AL32" s="154" t="s">
        <v>49</v>
      </c>
      <c r="AM32" s="155" t="s">
        <v>48</v>
      </c>
      <c r="AN32" s="2">
        <f>IF($E$4=$G$188,$L$20,0)</f>
        <v>0</v>
      </c>
      <c r="AO32" s="154" t="s">
        <v>49</v>
      </c>
      <c r="AP32" s="155" t="s">
        <v>48</v>
      </c>
      <c r="AQ32" s="2">
        <f>IF($E$4=$G$188,$P$20,0)</f>
        <v>0</v>
      </c>
      <c r="AR32" s="154" t="s">
        <v>49</v>
      </c>
      <c r="AS32" s="155" t="s">
        <v>48</v>
      </c>
      <c r="AT32" s="2">
        <f>IF($E$4=$G$188,$T$20,0)</f>
        <v>0</v>
      </c>
      <c r="AU32" s="154" t="s">
        <v>49</v>
      </c>
      <c r="AV32" s="155" t="s">
        <v>48</v>
      </c>
      <c r="AW32" s="2">
        <f>IF($E$4=$G$188,$X$20,0)</f>
        <v>0</v>
      </c>
      <c r="AX32" s="154" t="s">
        <v>49</v>
      </c>
      <c r="AY32" s="155" t="s">
        <v>48</v>
      </c>
      <c r="AZ32" s="2">
        <f>IF($E$4=$G$188,$AB$20,0)</f>
        <v>0</v>
      </c>
    </row>
    <row r="33" spans="1:52" ht="30" customHeight="1" x14ac:dyDescent="0.25">
      <c r="A33" s="383"/>
      <c r="B33" s="403"/>
      <c r="C33" s="332"/>
      <c r="D33" s="386"/>
      <c r="E33" s="343" t="s">
        <v>980</v>
      </c>
      <c r="F33" s="344"/>
      <c r="G33" s="344"/>
      <c r="H33" s="261">
        <f>IF($E$15&lt;&gt;0,IF($D$23=$M$153,$R$153*$E$4*3/1000*H20*$H$68,IF($D$23=$M$154,$R$154*$E$4*3/1000*H20*$H$68,IF($D$23=$M$155,$R$155*$E$4*3/1000*H20*$H$68,IF($D$23=$M$156,$R$156*$E$4*3/1000*H20*$H$68,IF($D$23=$M$157,$R$157*$E$4*3/1000*H20*$H$68,IF($D$23=$M$158,$R$158*$E$4*3/1000*H20*$H$68,IF($D$23=$M$159,$R$159*$E$4*3/1000*H20*$H$68,IF($D$23=$M$160,$R$160*$E$4*3/1000*H20*$H$68,IF($D$23=$M$161,$R$161*$E$4*3/1000*H20*$H$68,IF($D$23=$M$162,$R$162*$E$4*3/1000*H20*$H$68,"Что-то не так с сечением")))))))))),0)</f>
        <v>0</v>
      </c>
      <c r="I33" s="343" t="s">
        <v>980</v>
      </c>
      <c r="J33" s="344"/>
      <c r="K33" s="344"/>
      <c r="L33" s="261">
        <f>IF($E$15&lt;&gt;0,IF($D$23=$M$153,$R$153*$E$4*3/1000*L20*$L$68,IF($D$23=$M$154,$R$154*$E$4*3/1000*L20*$L$68,IF($D$23=$M$155,$R$155*$E$4*3/1000*L20*$L$68,IF($D$23=$M$156,$R$156*$E$4*3/1000*L20*$L$68,IF($D$23=$M$157,$R$157*$E$4*3/1000*L20*$L$68,IF($D$23=$M$158,$R$158*$E$4*3/1000*L20*$L$68,IF($D$23=$M$159,$R$159*$E$4*3/1000*L20*$L$68,IF($D$23=$M$160,$R$160*$E$4*3/1000*L20*$L$68,IF($D$23=$M$161,$R$161*$E$4*3/1000*L20*$L$68,IF($D$23=$M$162,$R$162*$E$4*3/1000*L20*$L$68,"Что-то не так с сечением")))))))))),0)</f>
        <v>0</v>
      </c>
      <c r="M33" s="343" t="s">
        <v>980</v>
      </c>
      <c r="N33" s="344"/>
      <c r="O33" s="344"/>
      <c r="P33" s="261">
        <f>IF($E$15&lt;&gt;0,IF($D$23=$M$153,$R$153*$E$4*3/1000*P20*$P$68,IF($D$23=$M$154,$R$154*$E$4*3/1000*P20*$P$68,IF($D$23=$M$155,$R$155*$E$4*3/1000*P20*$P$68,IF($D$23=$M$156,$R$156*$E$4*3/1000*P20*$P$68,IF($D$23=$M$157,$R$157*$E$4*3/1000*P20*$P$68,IF($D$23=$M$158,$R$158*$E$4*3/1000*P20*$P$68,IF($D$23=$M$159,$R$159*$E$4*3/1000*P20*$P$68,IF($D$23=$M$160,$R$160*$E$4*3/1000*P20*$P$68,IF($D$23=$M$161,$R$161*$E$4*3/1000*P20*$P$68,IF($D$23=$M$162,$R$162*$E$4*3/1000*P20*$P$68,"Что-то не так с сечением")))))))))),0)</f>
        <v>0</v>
      </c>
      <c r="Q33" s="343" t="s">
        <v>980</v>
      </c>
      <c r="R33" s="344"/>
      <c r="S33" s="344"/>
      <c r="T33" s="261">
        <f>IF($E$15&lt;&gt;0,IF($D$23=$M$153,$R$153*$E$4*3/1000*T20*$T$68,IF($D$23=$M$154,$R$154*$E$4*3/1000*T20*$T$68,IF($D$23=$M$155,$R$155*$E$4*3/1000*T20*$T$68,IF($D$23=$M$156,$R$156*$E$4*3/1000*T20*$T$68,IF($D$23=$M$157,$R$157*$E$4*3/1000*T20*$T$68,IF($D$23=$M$158,$R$158*$E$4*3/1000*T20*$T$68,IF($D$23=$M$159,$R$159*$E$4*3/1000*T20*$T$68,IF($D$23=$M$160,$R$160*$E$4*3/1000*T20*$T$68,IF($D$23=$M$161,$R$161*$E$4*3/1000*T20*$T$68,IF($D$23=$M$162,$R$162*$E$4*3/1000*T20*$T$68,"Что-то не так с сечением")))))))))),0)</f>
        <v>0</v>
      </c>
      <c r="U33" s="343" t="s">
        <v>980</v>
      </c>
      <c r="V33" s="344"/>
      <c r="W33" s="344"/>
      <c r="X33" s="261">
        <f>IF($E$15&lt;&gt;0,IF($D$23=$M$153,$R$153*$E$4*3/1000*X20*$X$68,IF($D$23=$M$154,$R$154*$E$4*3/1000*X20*$X$68,IF($D$23=$M$155,$R$155*$E$4*3/1000*X20*$X$68,IF($D$23=$M$156,$R$156*$E$4*3/1000*X20*$X$68,IF($D$23=$M$157,$R$157*$E$4*3/1000*X20*$X$68,IF($D$23=$M$158,$R$158*$E$4*3/1000*X20*$X$68,IF($D$23=$M$159,$R$159*$E$4*3/1000*X20*$X$68,IF($D$23=$M$160,$R$160*$E$4*3/1000*X20*$X$68,IF($D$23=$M$161,$R$161*$E$4*3/1000*X20*$X$68,IF($D$23=$M$162,$R$162*$E$4*3/1000*X20*$X$68,"Что-то не так с сечением")))))))))),0)</f>
        <v>0</v>
      </c>
      <c r="Y33" s="343" t="s">
        <v>980</v>
      </c>
      <c r="Z33" s="344"/>
      <c r="AA33" s="344"/>
      <c r="AB33" s="261">
        <f>IF($E$15&lt;&gt;0,IF($D$23=$M$153,$R$153*$E$4*3/1000*AB20*$AB$68,IF($D$23=$M$154,$R$154*$E$4*3/1000*AB20*$AB$68,IF($D$23=$M$155,$R$155*$E$4*3/1000*AB20*$AB$68,IF($D$23=$M$156,$R$156*$E$4*3/1000*AB20*$AB$68,IF($D$23=$M$157,$R$157*$E$4*3/1000*AB20*$AB$68,IF($D$23=$M$158,$R$158*$E$4*3/1000*AB20*$AB$68,IF($D$23=$M$159,$R$159*$E$4*3/1000*AB20*$AB$68,IF($D$23=$M$160,$R$160*$E$4*3/1000*AB20*$AB$68,IF($D$23=$M$161,$R$161*$E$4*3/1000*AB20*$AB$68,IF($D$23=$M$162,$R$162*$E$4*3/1000*AB20*$AB$68,"Что-то не так с сечением")))))))))),0)</f>
        <v>0</v>
      </c>
      <c r="AI33" s="244" t="s">
        <v>51</v>
      </c>
      <c r="AJ33" s="245" t="s">
        <v>50</v>
      </c>
      <c r="AK33" s="2">
        <f>IF($E$4=$G$189,$H$20,0)</f>
        <v>0</v>
      </c>
      <c r="AL33" s="244" t="s">
        <v>51</v>
      </c>
      <c r="AM33" s="245" t="s">
        <v>50</v>
      </c>
      <c r="AN33" s="2">
        <f>IF($E$4=$G$189,$L$20,0)</f>
        <v>0</v>
      </c>
      <c r="AO33" s="244" t="s">
        <v>51</v>
      </c>
      <c r="AP33" s="245" t="s">
        <v>50</v>
      </c>
      <c r="AQ33" s="2">
        <f>IF($E$4=$G$189,$P$20,0)</f>
        <v>0</v>
      </c>
      <c r="AR33" s="244" t="s">
        <v>51</v>
      </c>
      <c r="AS33" s="245" t="s">
        <v>50</v>
      </c>
      <c r="AT33" s="2">
        <f>IF($E$4=$G$189,$T$20,0)</f>
        <v>0</v>
      </c>
      <c r="AU33" s="244" t="s">
        <v>51</v>
      </c>
      <c r="AV33" s="245" t="s">
        <v>50</v>
      </c>
      <c r="AW33" s="2">
        <f>IF($E$4=$G$189,$X$20,0)</f>
        <v>0</v>
      </c>
      <c r="AX33" s="244" t="s">
        <v>51</v>
      </c>
      <c r="AY33" s="245" t="s">
        <v>50</v>
      </c>
      <c r="AZ33" s="2">
        <f>IF($E$4=$G$189,$AB$20,0)</f>
        <v>0</v>
      </c>
    </row>
    <row r="34" spans="1:52" ht="30" customHeight="1" x14ac:dyDescent="0.25">
      <c r="A34" s="383"/>
      <c r="B34" s="403"/>
      <c r="C34" s="332"/>
      <c r="D34" s="386"/>
      <c r="E34" s="317" t="s">
        <v>780</v>
      </c>
      <c r="F34" s="318"/>
      <c r="G34" s="318"/>
      <c r="H34" s="262">
        <v>0</v>
      </c>
      <c r="I34" s="317" t="s">
        <v>780</v>
      </c>
      <c r="J34" s="318"/>
      <c r="K34" s="318"/>
      <c r="L34" s="262">
        <v>0</v>
      </c>
      <c r="M34" s="317" t="s">
        <v>780</v>
      </c>
      <c r="N34" s="318"/>
      <c r="O34" s="318"/>
      <c r="P34" s="262">
        <v>0</v>
      </c>
      <c r="Q34" s="317" t="s">
        <v>780</v>
      </c>
      <c r="R34" s="318"/>
      <c r="S34" s="318"/>
      <c r="T34" s="262">
        <v>0</v>
      </c>
      <c r="U34" s="317" t="s">
        <v>780</v>
      </c>
      <c r="V34" s="318"/>
      <c r="W34" s="318"/>
      <c r="X34" s="262">
        <v>0</v>
      </c>
      <c r="Y34" s="317" t="s">
        <v>780</v>
      </c>
      <c r="Z34" s="318"/>
      <c r="AA34" s="318"/>
      <c r="AB34" s="262">
        <v>0</v>
      </c>
      <c r="AI34" s="160" t="s">
        <v>53</v>
      </c>
      <c r="AJ34" s="160" t="s">
        <v>52</v>
      </c>
      <c r="AK34" s="250">
        <f>IF(AND($E$5=$H$187,$E$4=$G$187),$H$20,0)</f>
        <v>0</v>
      </c>
      <c r="AL34" s="160" t="s">
        <v>53</v>
      </c>
      <c r="AM34" s="160" t="s">
        <v>52</v>
      </c>
      <c r="AN34" s="250"/>
      <c r="AO34" s="160" t="s">
        <v>53</v>
      </c>
      <c r="AP34" s="160" t="s">
        <v>52</v>
      </c>
      <c r="AQ34" s="250"/>
      <c r="AR34" s="160" t="s">
        <v>53</v>
      </c>
      <c r="AS34" s="160" t="s">
        <v>52</v>
      </c>
      <c r="AT34" s="250"/>
      <c r="AU34" s="160" t="s">
        <v>53</v>
      </c>
      <c r="AV34" s="160" t="s">
        <v>52</v>
      </c>
      <c r="AW34" s="250"/>
      <c r="AX34" s="160" t="s">
        <v>53</v>
      </c>
      <c r="AY34" s="160" t="s">
        <v>52</v>
      </c>
      <c r="AZ34" s="250"/>
    </row>
    <row r="35" spans="1:52" ht="30" customHeight="1" x14ac:dyDescent="0.25">
      <c r="A35" s="383"/>
      <c r="B35" s="403"/>
      <c r="C35" s="332"/>
      <c r="D35" s="386"/>
      <c r="E35" s="317" t="s">
        <v>779</v>
      </c>
      <c r="F35" s="318"/>
      <c r="G35" s="318"/>
      <c r="H35" s="262">
        <v>0</v>
      </c>
      <c r="I35" s="317" t="s">
        <v>779</v>
      </c>
      <c r="J35" s="318"/>
      <c r="K35" s="318"/>
      <c r="L35" s="262">
        <v>0</v>
      </c>
      <c r="M35" s="317" t="s">
        <v>779</v>
      </c>
      <c r="N35" s="318"/>
      <c r="O35" s="318"/>
      <c r="P35" s="262">
        <v>0</v>
      </c>
      <c r="Q35" s="317" t="s">
        <v>779</v>
      </c>
      <c r="R35" s="318"/>
      <c r="S35" s="318"/>
      <c r="T35" s="262">
        <v>0</v>
      </c>
      <c r="U35" s="317" t="s">
        <v>779</v>
      </c>
      <c r="V35" s="318"/>
      <c r="W35" s="318"/>
      <c r="X35" s="262">
        <v>0</v>
      </c>
      <c r="Y35" s="317" t="s">
        <v>779</v>
      </c>
      <c r="Z35" s="318"/>
      <c r="AA35" s="318"/>
      <c r="AB35" s="262">
        <v>0</v>
      </c>
      <c r="AI35" s="160" t="s">
        <v>56</v>
      </c>
      <c r="AJ35" s="160" t="s">
        <v>55</v>
      </c>
      <c r="AK35" s="250">
        <f>IF(AND($E$5=$H$188,$E$4=$G$187),$H$20,0)</f>
        <v>0</v>
      </c>
      <c r="AL35" s="160" t="s">
        <v>56</v>
      </c>
      <c r="AM35" s="160" t="s">
        <v>55</v>
      </c>
      <c r="AN35" s="250"/>
      <c r="AO35" s="160" t="s">
        <v>56</v>
      </c>
      <c r="AP35" s="160" t="s">
        <v>55</v>
      </c>
      <c r="AQ35" s="250"/>
      <c r="AR35" s="160" t="s">
        <v>56</v>
      </c>
      <c r="AS35" s="160" t="s">
        <v>55</v>
      </c>
      <c r="AT35" s="250"/>
      <c r="AU35" s="160" t="s">
        <v>56</v>
      </c>
      <c r="AV35" s="160" t="s">
        <v>55</v>
      </c>
      <c r="AW35" s="250"/>
      <c r="AX35" s="160" t="s">
        <v>56</v>
      </c>
      <c r="AY35" s="160" t="s">
        <v>55</v>
      </c>
      <c r="AZ35" s="250"/>
    </row>
    <row r="36" spans="1:52" ht="30" customHeight="1" x14ac:dyDescent="0.25">
      <c r="A36" s="383"/>
      <c r="B36" s="403"/>
      <c r="C36" s="332"/>
      <c r="D36" s="386"/>
      <c r="E36" s="282" t="s">
        <v>1004</v>
      </c>
      <c r="F36" s="283"/>
      <c r="G36" s="283"/>
      <c r="H36" s="284"/>
      <c r="I36" s="282" t="s">
        <v>1004</v>
      </c>
      <c r="J36" s="283"/>
      <c r="K36" s="283"/>
      <c r="L36" s="284"/>
      <c r="M36" s="282" t="s">
        <v>1004</v>
      </c>
      <c r="N36" s="283"/>
      <c r="O36" s="283"/>
      <c r="P36" s="284"/>
      <c r="Q36" s="282" t="s">
        <v>1004</v>
      </c>
      <c r="R36" s="283"/>
      <c r="S36" s="283"/>
      <c r="T36" s="284"/>
      <c r="U36" s="282" t="s">
        <v>1004</v>
      </c>
      <c r="V36" s="283"/>
      <c r="W36" s="283"/>
      <c r="X36" s="284"/>
      <c r="Y36" s="282" t="s">
        <v>1004</v>
      </c>
      <c r="Z36" s="283"/>
      <c r="AA36" s="283"/>
      <c r="AB36" s="284"/>
      <c r="AI36" s="160" t="s">
        <v>58</v>
      </c>
      <c r="AJ36" s="160" t="s">
        <v>57</v>
      </c>
      <c r="AK36" s="250">
        <f>IF(AND($E$5=$H$189,$E$4=$G$187),$H$20,0)</f>
        <v>0</v>
      </c>
      <c r="AL36" s="160" t="s">
        <v>58</v>
      </c>
      <c r="AM36" s="160" t="s">
        <v>57</v>
      </c>
      <c r="AN36" s="250"/>
      <c r="AO36" s="160" t="s">
        <v>58</v>
      </c>
      <c r="AP36" s="160" t="s">
        <v>57</v>
      </c>
      <c r="AQ36" s="250"/>
      <c r="AR36" s="160" t="s">
        <v>58</v>
      </c>
      <c r="AS36" s="160" t="s">
        <v>57</v>
      </c>
      <c r="AT36" s="250"/>
      <c r="AU36" s="160" t="s">
        <v>58</v>
      </c>
      <c r="AV36" s="160" t="s">
        <v>57</v>
      </c>
      <c r="AW36" s="250"/>
      <c r="AX36" s="160" t="s">
        <v>58</v>
      </c>
      <c r="AY36" s="160" t="s">
        <v>57</v>
      </c>
      <c r="AZ36" s="250"/>
    </row>
    <row r="37" spans="1:52" ht="30" customHeight="1" x14ac:dyDescent="0.25">
      <c r="A37" s="383"/>
      <c r="B37" s="403"/>
      <c r="C37" s="332"/>
      <c r="D37" s="386"/>
      <c r="E37" s="274">
        <v>400</v>
      </c>
      <c r="F37" s="275"/>
      <c r="G37" s="275"/>
      <c r="H37" s="262">
        <v>0</v>
      </c>
      <c r="I37" s="274">
        <v>400</v>
      </c>
      <c r="J37" s="275"/>
      <c r="K37" s="275"/>
      <c r="L37" s="262">
        <v>0</v>
      </c>
      <c r="M37" s="274">
        <v>400</v>
      </c>
      <c r="N37" s="275"/>
      <c r="O37" s="275"/>
      <c r="P37" s="262">
        <v>0</v>
      </c>
      <c r="Q37" s="274">
        <v>400</v>
      </c>
      <c r="R37" s="275"/>
      <c r="S37" s="275"/>
      <c r="T37" s="262">
        <v>0</v>
      </c>
      <c r="U37" s="274">
        <v>400</v>
      </c>
      <c r="V37" s="275"/>
      <c r="W37" s="275"/>
      <c r="X37" s="262">
        <v>0</v>
      </c>
      <c r="Y37" s="274">
        <v>400</v>
      </c>
      <c r="Z37" s="275"/>
      <c r="AA37" s="275"/>
      <c r="AB37" s="262">
        <v>0</v>
      </c>
      <c r="AI37" s="160" t="s">
        <v>60</v>
      </c>
      <c r="AJ37" s="160" t="s">
        <v>59</v>
      </c>
      <c r="AK37" s="250">
        <f>IF(AND($E$5=$H$187,$E$4=$G$188),$H$20,0)</f>
        <v>0</v>
      </c>
      <c r="AL37" s="160" t="s">
        <v>60</v>
      </c>
      <c r="AM37" s="160" t="s">
        <v>59</v>
      </c>
      <c r="AN37" s="250"/>
      <c r="AO37" s="160" t="s">
        <v>60</v>
      </c>
      <c r="AP37" s="160" t="s">
        <v>59</v>
      </c>
      <c r="AQ37" s="250"/>
      <c r="AR37" s="160" t="s">
        <v>60</v>
      </c>
      <c r="AS37" s="160" t="s">
        <v>59</v>
      </c>
      <c r="AT37" s="250"/>
      <c r="AU37" s="160" t="s">
        <v>60</v>
      </c>
      <c r="AV37" s="160" t="s">
        <v>59</v>
      </c>
      <c r="AW37" s="250"/>
      <c r="AX37" s="160" t="s">
        <v>60</v>
      </c>
      <c r="AY37" s="160" t="s">
        <v>59</v>
      </c>
      <c r="AZ37" s="250"/>
    </row>
    <row r="38" spans="1:52" ht="30" customHeight="1" x14ac:dyDescent="0.25">
      <c r="A38" s="383"/>
      <c r="B38" s="403"/>
      <c r="C38" s="332"/>
      <c r="D38" s="386"/>
      <c r="E38" s="274">
        <v>600</v>
      </c>
      <c r="F38" s="275"/>
      <c r="G38" s="275"/>
      <c r="H38" s="262">
        <v>0</v>
      </c>
      <c r="I38" s="274">
        <v>600</v>
      </c>
      <c r="J38" s="275"/>
      <c r="K38" s="275"/>
      <c r="L38" s="262">
        <v>0</v>
      </c>
      <c r="M38" s="274">
        <v>600</v>
      </c>
      <c r="N38" s="275"/>
      <c r="O38" s="275"/>
      <c r="P38" s="262">
        <v>0</v>
      </c>
      <c r="Q38" s="274">
        <v>600</v>
      </c>
      <c r="R38" s="275"/>
      <c r="S38" s="275"/>
      <c r="T38" s="262">
        <v>0</v>
      </c>
      <c r="U38" s="274">
        <v>600</v>
      </c>
      <c r="V38" s="275"/>
      <c r="W38" s="275"/>
      <c r="X38" s="262">
        <v>0</v>
      </c>
      <c r="Y38" s="274">
        <v>600</v>
      </c>
      <c r="Z38" s="275"/>
      <c r="AA38" s="275"/>
      <c r="AB38" s="262">
        <v>0</v>
      </c>
      <c r="AI38" s="160" t="s">
        <v>62</v>
      </c>
      <c r="AJ38" s="160" t="s">
        <v>61</v>
      </c>
      <c r="AK38" s="250">
        <f>IF(AND($E$5=$H$188,$E$4=$G$188),$H$20,0)</f>
        <v>0</v>
      </c>
      <c r="AL38" s="160" t="s">
        <v>62</v>
      </c>
      <c r="AM38" s="160" t="s">
        <v>61</v>
      </c>
      <c r="AN38" s="250"/>
      <c r="AO38" s="160" t="s">
        <v>62</v>
      </c>
      <c r="AP38" s="160" t="s">
        <v>61</v>
      </c>
      <c r="AQ38" s="250"/>
      <c r="AR38" s="160" t="s">
        <v>62</v>
      </c>
      <c r="AS38" s="160" t="s">
        <v>61</v>
      </c>
      <c r="AT38" s="250"/>
      <c r="AU38" s="160" t="s">
        <v>62</v>
      </c>
      <c r="AV38" s="160" t="s">
        <v>61</v>
      </c>
      <c r="AW38" s="250"/>
      <c r="AX38" s="160" t="s">
        <v>62</v>
      </c>
      <c r="AY38" s="160" t="s">
        <v>61</v>
      </c>
      <c r="AZ38" s="250"/>
    </row>
    <row r="39" spans="1:52" ht="30" customHeight="1" x14ac:dyDescent="0.25">
      <c r="A39" s="383"/>
      <c r="B39" s="403"/>
      <c r="C39" s="332"/>
      <c r="D39" s="386"/>
      <c r="E39" s="274">
        <v>800</v>
      </c>
      <c r="F39" s="275"/>
      <c r="G39" s="275"/>
      <c r="H39" s="262">
        <v>0</v>
      </c>
      <c r="I39" s="274">
        <v>800</v>
      </c>
      <c r="J39" s="275"/>
      <c r="K39" s="275"/>
      <c r="L39" s="262">
        <v>0</v>
      </c>
      <c r="M39" s="274">
        <v>800</v>
      </c>
      <c r="N39" s="275"/>
      <c r="O39" s="275"/>
      <c r="P39" s="262">
        <v>0</v>
      </c>
      <c r="Q39" s="274">
        <v>800</v>
      </c>
      <c r="R39" s="275"/>
      <c r="S39" s="275"/>
      <c r="T39" s="262">
        <v>0</v>
      </c>
      <c r="U39" s="274">
        <v>800</v>
      </c>
      <c r="V39" s="275"/>
      <c r="W39" s="275"/>
      <c r="X39" s="262">
        <v>0</v>
      </c>
      <c r="Y39" s="274">
        <v>800</v>
      </c>
      <c r="Z39" s="275"/>
      <c r="AA39" s="275"/>
      <c r="AB39" s="262">
        <v>0</v>
      </c>
      <c r="AI39" s="160" t="s">
        <v>64</v>
      </c>
      <c r="AJ39" s="160" t="s">
        <v>63</v>
      </c>
      <c r="AK39" s="250">
        <f>IF(AND($E$5=$H$189,$E$4=$G$188),$H$20,0)</f>
        <v>0</v>
      </c>
      <c r="AL39" s="160" t="s">
        <v>64</v>
      </c>
      <c r="AM39" s="160" t="s">
        <v>63</v>
      </c>
      <c r="AN39" s="250"/>
      <c r="AO39" s="160" t="s">
        <v>64</v>
      </c>
      <c r="AP39" s="160" t="s">
        <v>63</v>
      </c>
      <c r="AQ39" s="250"/>
      <c r="AR39" s="160" t="s">
        <v>64</v>
      </c>
      <c r="AS39" s="160" t="s">
        <v>63</v>
      </c>
      <c r="AT39" s="250"/>
      <c r="AU39" s="160" t="s">
        <v>64</v>
      </c>
      <c r="AV39" s="160" t="s">
        <v>63</v>
      </c>
      <c r="AW39" s="250"/>
      <c r="AX39" s="160" t="s">
        <v>64</v>
      </c>
      <c r="AY39" s="160" t="s">
        <v>63</v>
      </c>
      <c r="AZ39" s="250"/>
    </row>
    <row r="40" spans="1:52" ht="30" customHeight="1" x14ac:dyDescent="0.25">
      <c r="A40" s="383"/>
      <c r="B40" s="403"/>
      <c r="C40" s="332"/>
      <c r="D40" s="386"/>
      <c r="E40" s="288" t="s">
        <v>1012</v>
      </c>
      <c r="F40" s="289"/>
      <c r="G40" s="289"/>
      <c r="H40" s="290"/>
      <c r="I40" s="288" t="s">
        <v>1012</v>
      </c>
      <c r="J40" s="289"/>
      <c r="K40" s="289"/>
      <c r="L40" s="290"/>
      <c r="M40" s="288" t="s">
        <v>1012</v>
      </c>
      <c r="N40" s="289"/>
      <c r="O40" s="289"/>
      <c r="P40" s="290"/>
      <c r="Q40" s="288" t="s">
        <v>1012</v>
      </c>
      <c r="R40" s="289"/>
      <c r="S40" s="289"/>
      <c r="T40" s="290"/>
      <c r="U40" s="288" t="s">
        <v>1012</v>
      </c>
      <c r="V40" s="289"/>
      <c r="W40" s="289"/>
      <c r="X40" s="290"/>
      <c r="Y40" s="288" t="s">
        <v>1012</v>
      </c>
      <c r="Z40" s="289"/>
      <c r="AA40" s="289"/>
      <c r="AB40" s="290"/>
      <c r="AI40" s="242" t="s">
        <v>1014</v>
      </c>
      <c r="AJ40" s="160" t="s">
        <v>1007</v>
      </c>
      <c r="AK40" s="250">
        <f>$H$46</f>
        <v>0</v>
      </c>
      <c r="AL40" s="242" t="s">
        <v>1014</v>
      </c>
      <c r="AM40" s="160" t="s">
        <v>1007</v>
      </c>
      <c r="AN40" s="250">
        <f>L46</f>
        <v>0</v>
      </c>
      <c r="AO40" s="242" t="s">
        <v>1014</v>
      </c>
      <c r="AP40" s="160" t="s">
        <v>1007</v>
      </c>
      <c r="AQ40" s="250">
        <f>P46</f>
        <v>0</v>
      </c>
      <c r="AR40" s="242" t="s">
        <v>1014</v>
      </c>
      <c r="AS40" s="160" t="s">
        <v>1007</v>
      </c>
      <c r="AT40" s="250">
        <f>T46</f>
        <v>0</v>
      </c>
      <c r="AU40" s="242" t="s">
        <v>1014</v>
      </c>
      <c r="AV40" s="160" t="s">
        <v>1007</v>
      </c>
      <c r="AW40" s="250">
        <f>X46</f>
        <v>0</v>
      </c>
      <c r="AX40" s="242" t="s">
        <v>1014</v>
      </c>
      <c r="AY40" s="160" t="s">
        <v>1007</v>
      </c>
      <c r="AZ40" s="250">
        <f>AB46</f>
        <v>0</v>
      </c>
    </row>
    <row r="41" spans="1:52" ht="30" customHeight="1" x14ac:dyDescent="0.25">
      <c r="A41" s="383"/>
      <c r="B41" s="403"/>
      <c r="C41" s="332"/>
      <c r="D41" s="386"/>
      <c r="E41" s="285">
        <v>300</v>
      </c>
      <c r="F41" s="286"/>
      <c r="G41" s="287"/>
      <c r="H41" s="262">
        <v>0</v>
      </c>
      <c r="I41" s="285">
        <v>300</v>
      </c>
      <c r="J41" s="286"/>
      <c r="K41" s="287"/>
      <c r="L41" s="262">
        <v>0</v>
      </c>
      <c r="M41" s="285">
        <v>300</v>
      </c>
      <c r="N41" s="286"/>
      <c r="O41" s="287"/>
      <c r="P41" s="262">
        <v>0</v>
      </c>
      <c r="Q41" s="285">
        <v>300</v>
      </c>
      <c r="R41" s="286"/>
      <c r="S41" s="287"/>
      <c r="T41" s="262">
        <v>0</v>
      </c>
      <c r="U41" s="285">
        <v>300</v>
      </c>
      <c r="V41" s="286"/>
      <c r="W41" s="287"/>
      <c r="X41" s="262">
        <v>0</v>
      </c>
      <c r="Y41" s="285">
        <v>300</v>
      </c>
      <c r="Z41" s="286"/>
      <c r="AA41" s="287"/>
      <c r="AB41" s="262">
        <v>0</v>
      </c>
      <c r="AI41" s="242" t="s">
        <v>1014</v>
      </c>
      <c r="AJ41" s="160" t="s">
        <v>1008</v>
      </c>
      <c r="AK41" s="250">
        <f>H47</f>
        <v>0</v>
      </c>
      <c r="AL41" s="242" t="s">
        <v>1014</v>
      </c>
      <c r="AM41" s="160" t="s">
        <v>1008</v>
      </c>
      <c r="AN41" s="250">
        <f>L47</f>
        <v>0</v>
      </c>
      <c r="AO41" s="242" t="s">
        <v>1014</v>
      </c>
      <c r="AP41" s="160" t="s">
        <v>1008</v>
      </c>
      <c r="AQ41" s="250">
        <f>P47</f>
        <v>0</v>
      </c>
      <c r="AR41" s="242" t="s">
        <v>1014</v>
      </c>
      <c r="AS41" s="160" t="s">
        <v>1008</v>
      </c>
      <c r="AT41" s="250">
        <f>T47</f>
        <v>0</v>
      </c>
      <c r="AU41" s="242" t="s">
        <v>1014</v>
      </c>
      <c r="AV41" s="160" t="s">
        <v>1008</v>
      </c>
      <c r="AW41" s="250">
        <f>X47</f>
        <v>0</v>
      </c>
      <c r="AX41" s="242" t="s">
        <v>1014</v>
      </c>
      <c r="AY41" s="160" t="s">
        <v>1008</v>
      </c>
      <c r="AZ41" s="250">
        <f>AB47</f>
        <v>0</v>
      </c>
    </row>
    <row r="42" spans="1:52" ht="30" customHeight="1" x14ac:dyDescent="0.25">
      <c r="A42" s="383"/>
      <c r="B42" s="403"/>
      <c r="C42" s="332"/>
      <c r="D42" s="386"/>
      <c r="E42" s="285">
        <v>400</v>
      </c>
      <c r="F42" s="286"/>
      <c r="G42" s="287"/>
      <c r="H42" s="262">
        <v>0</v>
      </c>
      <c r="I42" s="285">
        <v>400</v>
      </c>
      <c r="J42" s="286"/>
      <c r="K42" s="287"/>
      <c r="L42" s="262">
        <v>0</v>
      </c>
      <c r="M42" s="285">
        <v>400</v>
      </c>
      <c r="N42" s="286"/>
      <c r="O42" s="287"/>
      <c r="P42" s="262">
        <v>0</v>
      </c>
      <c r="Q42" s="285">
        <v>400</v>
      </c>
      <c r="R42" s="286"/>
      <c r="S42" s="287"/>
      <c r="T42" s="262">
        <v>0</v>
      </c>
      <c r="U42" s="285">
        <v>400</v>
      </c>
      <c r="V42" s="286"/>
      <c r="W42" s="287"/>
      <c r="X42" s="262">
        <v>0</v>
      </c>
      <c r="Y42" s="285">
        <v>400</v>
      </c>
      <c r="Z42" s="286"/>
      <c r="AA42" s="287"/>
      <c r="AB42" s="262">
        <v>0</v>
      </c>
      <c r="AI42" s="242" t="s">
        <v>1014</v>
      </c>
      <c r="AJ42" s="160" t="s">
        <v>1009</v>
      </c>
      <c r="AK42" s="250">
        <f>H48</f>
        <v>0</v>
      </c>
      <c r="AL42" s="242" t="s">
        <v>1014</v>
      </c>
      <c r="AM42" s="160" t="s">
        <v>1009</v>
      </c>
      <c r="AN42" s="250">
        <f>L48</f>
        <v>0</v>
      </c>
      <c r="AO42" s="242" t="s">
        <v>1014</v>
      </c>
      <c r="AP42" s="160" t="s">
        <v>1009</v>
      </c>
      <c r="AQ42" s="250">
        <f>P48</f>
        <v>0</v>
      </c>
      <c r="AR42" s="242" t="s">
        <v>1014</v>
      </c>
      <c r="AS42" s="160" t="s">
        <v>1009</v>
      </c>
      <c r="AT42" s="250">
        <f>T48</f>
        <v>0</v>
      </c>
      <c r="AU42" s="242" t="s">
        <v>1014</v>
      </c>
      <c r="AV42" s="160" t="s">
        <v>1009</v>
      </c>
      <c r="AW42" s="250">
        <f>X48</f>
        <v>0</v>
      </c>
      <c r="AX42" s="242" t="s">
        <v>1014</v>
      </c>
      <c r="AY42" s="160" t="s">
        <v>1009</v>
      </c>
      <c r="AZ42" s="250">
        <f>AB48</f>
        <v>0</v>
      </c>
    </row>
    <row r="43" spans="1:52" ht="30" customHeight="1" x14ac:dyDescent="0.25">
      <c r="A43" s="383"/>
      <c r="B43" s="403"/>
      <c r="C43" s="332"/>
      <c r="D43" s="386"/>
      <c r="E43" s="285">
        <v>600</v>
      </c>
      <c r="F43" s="286"/>
      <c r="G43" s="287"/>
      <c r="H43" s="262">
        <v>0</v>
      </c>
      <c r="I43" s="285">
        <v>600</v>
      </c>
      <c r="J43" s="286"/>
      <c r="K43" s="287"/>
      <c r="L43" s="262">
        <v>0</v>
      </c>
      <c r="M43" s="285">
        <v>600</v>
      </c>
      <c r="N43" s="286"/>
      <c r="O43" s="287"/>
      <c r="P43" s="262">
        <v>0</v>
      </c>
      <c r="Q43" s="285">
        <v>600</v>
      </c>
      <c r="R43" s="286"/>
      <c r="S43" s="287"/>
      <c r="T43" s="262">
        <v>0</v>
      </c>
      <c r="U43" s="285">
        <v>600</v>
      </c>
      <c r="V43" s="286"/>
      <c r="W43" s="287"/>
      <c r="X43" s="262">
        <v>0</v>
      </c>
      <c r="Y43" s="285">
        <v>600</v>
      </c>
      <c r="Z43" s="286"/>
      <c r="AA43" s="287"/>
      <c r="AB43" s="262">
        <v>0</v>
      </c>
      <c r="AI43" s="242" t="s">
        <v>1014</v>
      </c>
      <c r="AJ43" s="160" t="s">
        <v>1010</v>
      </c>
      <c r="AK43" s="250">
        <f>H49</f>
        <v>0</v>
      </c>
      <c r="AL43" s="242" t="s">
        <v>1014</v>
      </c>
      <c r="AM43" s="160" t="s">
        <v>1010</v>
      </c>
      <c r="AN43" s="250">
        <f>L49</f>
        <v>0</v>
      </c>
      <c r="AO43" s="242" t="s">
        <v>1014</v>
      </c>
      <c r="AP43" s="160" t="s">
        <v>1010</v>
      </c>
      <c r="AQ43" s="250">
        <f>P49</f>
        <v>0</v>
      </c>
      <c r="AR43" s="242" t="s">
        <v>1014</v>
      </c>
      <c r="AS43" s="160" t="s">
        <v>1010</v>
      </c>
      <c r="AT43" s="250">
        <f>T49</f>
        <v>0</v>
      </c>
      <c r="AU43" s="242" t="s">
        <v>1014</v>
      </c>
      <c r="AV43" s="160" t="s">
        <v>1010</v>
      </c>
      <c r="AW43" s="250">
        <f>X49</f>
        <v>0</v>
      </c>
      <c r="AX43" s="242" t="s">
        <v>1014</v>
      </c>
      <c r="AY43" s="160" t="s">
        <v>1010</v>
      </c>
      <c r="AZ43" s="250">
        <f>AB49</f>
        <v>0</v>
      </c>
    </row>
    <row r="44" spans="1:52" ht="30" customHeight="1" x14ac:dyDescent="0.3">
      <c r="A44" s="383"/>
      <c r="B44" s="403"/>
      <c r="C44" s="332"/>
      <c r="D44" s="386"/>
      <c r="E44" s="285">
        <v>800</v>
      </c>
      <c r="F44" s="286"/>
      <c r="G44" s="287"/>
      <c r="H44" s="262">
        <v>0</v>
      </c>
      <c r="I44" s="285">
        <v>800</v>
      </c>
      <c r="J44" s="286"/>
      <c r="K44" s="287"/>
      <c r="L44" s="262">
        <v>0</v>
      </c>
      <c r="M44" s="285">
        <v>800</v>
      </c>
      <c r="N44" s="286"/>
      <c r="O44" s="287"/>
      <c r="P44" s="262">
        <v>0</v>
      </c>
      <c r="Q44" s="285">
        <v>800</v>
      </c>
      <c r="R44" s="286"/>
      <c r="S44" s="287"/>
      <c r="T44" s="262">
        <v>0</v>
      </c>
      <c r="U44" s="285">
        <v>800</v>
      </c>
      <c r="V44" s="286"/>
      <c r="W44" s="287"/>
      <c r="X44" s="262">
        <v>0</v>
      </c>
      <c r="Y44" s="285">
        <v>800</v>
      </c>
      <c r="Z44" s="286"/>
      <c r="AA44" s="287"/>
      <c r="AB44" s="262">
        <v>0</v>
      </c>
      <c r="AI44" s="228" t="s">
        <v>1011</v>
      </c>
      <c r="AJ44" s="228" t="s">
        <v>1015</v>
      </c>
      <c r="AK44" s="250">
        <f>H41</f>
        <v>0</v>
      </c>
      <c r="AL44" s="228" t="s">
        <v>1011</v>
      </c>
      <c r="AM44" s="228" t="s">
        <v>1015</v>
      </c>
      <c r="AN44" s="250">
        <f>L41</f>
        <v>0</v>
      </c>
      <c r="AO44" s="228" t="s">
        <v>1011</v>
      </c>
      <c r="AP44" s="228" t="s">
        <v>1015</v>
      </c>
      <c r="AQ44" s="250">
        <f>P41</f>
        <v>0</v>
      </c>
      <c r="AR44" s="228" t="s">
        <v>1011</v>
      </c>
      <c r="AS44" s="228" t="s">
        <v>1015</v>
      </c>
      <c r="AT44" s="250">
        <f>T41</f>
        <v>0</v>
      </c>
      <c r="AU44" s="228" t="s">
        <v>1011</v>
      </c>
      <c r="AV44" s="228" t="s">
        <v>1015</v>
      </c>
      <c r="AW44" s="250">
        <f>X41</f>
        <v>0</v>
      </c>
      <c r="AX44" s="228" t="s">
        <v>1011</v>
      </c>
      <c r="AY44" s="228" t="s">
        <v>1015</v>
      </c>
      <c r="AZ44" s="250">
        <f>AB41</f>
        <v>0</v>
      </c>
    </row>
    <row r="45" spans="1:52" ht="30" customHeight="1" x14ac:dyDescent="0.3">
      <c r="A45" s="383"/>
      <c r="B45" s="403"/>
      <c r="C45" s="332"/>
      <c r="D45" s="386"/>
      <c r="E45" s="282" t="s">
        <v>1013</v>
      </c>
      <c r="F45" s="283"/>
      <c r="G45" s="283"/>
      <c r="H45" s="284"/>
      <c r="I45" s="282" t="s">
        <v>1013</v>
      </c>
      <c r="J45" s="283"/>
      <c r="K45" s="283"/>
      <c r="L45" s="284"/>
      <c r="M45" s="282" t="s">
        <v>1013</v>
      </c>
      <c r="N45" s="283"/>
      <c r="O45" s="283"/>
      <c r="P45" s="284"/>
      <c r="Q45" s="282" t="s">
        <v>1013</v>
      </c>
      <c r="R45" s="283"/>
      <c r="S45" s="283"/>
      <c r="T45" s="284"/>
      <c r="U45" s="282" t="s">
        <v>1013</v>
      </c>
      <c r="V45" s="283"/>
      <c r="W45" s="283"/>
      <c r="X45" s="284"/>
      <c r="Y45" s="282" t="s">
        <v>1013</v>
      </c>
      <c r="Z45" s="283"/>
      <c r="AA45" s="283"/>
      <c r="AB45" s="284"/>
      <c r="AI45" s="228" t="s">
        <v>1017</v>
      </c>
      <c r="AJ45" s="228" t="s">
        <v>1016</v>
      </c>
      <c r="AK45" s="250">
        <f>H42</f>
        <v>0</v>
      </c>
      <c r="AL45" s="228" t="s">
        <v>1017</v>
      </c>
      <c r="AM45" s="228" t="s">
        <v>1016</v>
      </c>
      <c r="AN45" s="250">
        <f>L42</f>
        <v>0</v>
      </c>
      <c r="AO45" s="228" t="s">
        <v>1017</v>
      </c>
      <c r="AP45" s="228" t="s">
        <v>1016</v>
      </c>
      <c r="AQ45" s="250">
        <f>P42</f>
        <v>0</v>
      </c>
      <c r="AR45" s="228" t="s">
        <v>1017</v>
      </c>
      <c r="AS45" s="228" t="s">
        <v>1016</v>
      </c>
      <c r="AT45" s="250">
        <f>T42</f>
        <v>0</v>
      </c>
      <c r="AU45" s="228" t="s">
        <v>1017</v>
      </c>
      <c r="AV45" s="228" t="s">
        <v>1016</v>
      </c>
      <c r="AW45" s="250">
        <f>X42</f>
        <v>0</v>
      </c>
      <c r="AX45" s="228" t="s">
        <v>1017</v>
      </c>
      <c r="AY45" s="228" t="s">
        <v>1016</v>
      </c>
      <c r="AZ45" s="250">
        <f>AB42</f>
        <v>0</v>
      </c>
    </row>
    <row r="46" spans="1:52" ht="30" customHeight="1" x14ac:dyDescent="0.3">
      <c r="A46" s="383"/>
      <c r="B46" s="403"/>
      <c r="C46" s="332"/>
      <c r="D46" s="386"/>
      <c r="E46" s="285">
        <v>300</v>
      </c>
      <c r="F46" s="286"/>
      <c r="G46" s="287"/>
      <c r="H46" s="262">
        <v>0</v>
      </c>
      <c r="I46" s="285">
        <v>300</v>
      </c>
      <c r="J46" s="286"/>
      <c r="K46" s="287"/>
      <c r="L46" s="262">
        <v>0</v>
      </c>
      <c r="M46" s="285">
        <v>300</v>
      </c>
      <c r="N46" s="286"/>
      <c r="O46" s="287"/>
      <c r="P46" s="262">
        <v>0</v>
      </c>
      <c r="Q46" s="285">
        <v>300</v>
      </c>
      <c r="R46" s="286"/>
      <c r="S46" s="287"/>
      <c r="T46" s="262">
        <v>0</v>
      </c>
      <c r="U46" s="285">
        <v>300</v>
      </c>
      <c r="V46" s="286"/>
      <c r="W46" s="287"/>
      <c r="X46" s="262">
        <v>0</v>
      </c>
      <c r="Y46" s="285">
        <v>300</v>
      </c>
      <c r="Z46" s="286"/>
      <c r="AA46" s="287"/>
      <c r="AB46" s="262">
        <v>0</v>
      </c>
      <c r="AI46" s="228" t="s">
        <v>1019</v>
      </c>
      <c r="AJ46" s="228" t="s">
        <v>1018</v>
      </c>
      <c r="AK46" s="250">
        <f>H43</f>
        <v>0</v>
      </c>
      <c r="AL46" s="228" t="s">
        <v>1019</v>
      </c>
      <c r="AM46" s="228" t="s">
        <v>1018</v>
      </c>
      <c r="AN46" s="250">
        <f>L43</f>
        <v>0</v>
      </c>
      <c r="AO46" s="228" t="s">
        <v>1019</v>
      </c>
      <c r="AP46" s="228" t="s">
        <v>1018</v>
      </c>
      <c r="AQ46" s="250">
        <f>P43</f>
        <v>0</v>
      </c>
      <c r="AR46" s="228" t="s">
        <v>1019</v>
      </c>
      <c r="AS46" s="228" t="s">
        <v>1018</v>
      </c>
      <c r="AT46" s="250">
        <f>T43</f>
        <v>0</v>
      </c>
      <c r="AU46" s="228" t="s">
        <v>1019</v>
      </c>
      <c r="AV46" s="228" t="s">
        <v>1018</v>
      </c>
      <c r="AW46" s="250">
        <f>X43</f>
        <v>0</v>
      </c>
      <c r="AX46" s="228" t="s">
        <v>1019</v>
      </c>
      <c r="AY46" s="228" t="s">
        <v>1018</v>
      </c>
      <c r="AZ46" s="250">
        <f>AB43</f>
        <v>0</v>
      </c>
    </row>
    <row r="47" spans="1:52" ht="30" customHeight="1" x14ac:dyDescent="0.3">
      <c r="A47" s="383"/>
      <c r="B47" s="403"/>
      <c r="C47" s="332"/>
      <c r="D47" s="386"/>
      <c r="E47" s="285">
        <v>400</v>
      </c>
      <c r="F47" s="286"/>
      <c r="G47" s="287"/>
      <c r="H47" s="262">
        <v>0</v>
      </c>
      <c r="I47" s="285">
        <v>400</v>
      </c>
      <c r="J47" s="286"/>
      <c r="K47" s="287"/>
      <c r="L47" s="262">
        <v>0</v>
      </c>
      <c r="M47" s="285">
        <v>400</v>
      </c>
      <c r="N47" s="286"/>
      <c r="O47" s="287"/>
      <c r="P47" s="262">
        <v>0</v>
      </c>
      <c r="Q47" s="285">
        <v>400</v>
      </c>
      <c r="R47" s="286"/>
      <c r="S47" s="287"/>
      <c r="T47" s="262">
        <v>0</v>
      </c>
      <c r="U47" s="285">
        <v>400</v>
      </c>
      <c r="V47" s="286"/>
      <c r="W47" s="287"/>
      <c r="X47" s="262">
        <v>0</v>
      </c>
      <c r="Y47" s="285">
        <v>400</v>
      </c>
      <c r="Z47" s="286"/>
      <c r="AA47" s="287"/>
      <c r="AB47" s="262">
        <v>0</v>
      </c>
      <c r="AI47" s="228" t="s">
        <v>1021</v>
      </c>
      <c r="AJ47" s="228" t="s">
        <v>1020</v>
      </c>
      <c r="AK47" s="250">
        <f>H44</f>
        <v>0</v>
      </c>
      <c r="AL47" s="228" t="s">
        <v>1021</v>
      </c>
      <c r="AM47" s="228" t="s">
        <v>1020</v>
      </c>
      <c r="AN47" s="250">
        <f>L44</f>
        <v>0</v>
      </c>
      <c r="AO47" s="228" t="s">
        <v>1021</v>
      </c>
      <c r="AP47" s="228" t="s">
        <v>1020</v>
      </c>
      <c r="AQ47" s="250">
        <f>P44</f>
        <v>0</v>
      </c>
      <c r="AR47" s="228" t="s">
        <v>1021</v>
      </c>
      <c r="AS47" s="228" t="s">
        <v>1020</v>
      </c>
      <c r="AT47" s="250">
        <f>T44</f>
        <v>0</v>
      </c>
      <c r="AU47" s="228" t="s">
        <v>1021</v>
      </c>
      <c r="AV47" s="228" t="s">
        <v>1020</v>
      </c>
      <c r="AW47" s="250">
        <f>X44</f>
        <v>0</v>
      </c>
      <c r="AX47" s="228" t="s">
        <v>1021</v>
      </c>
      <c r="AY47" s="228" t="s">
        <v>1020</v>
      </c>
      <c r="AZ47" s="250">
        <f>AB44</f>
        <v>0</v>
      </c>
    </row>
    <row r="48" spans="1:52" ht="30" customHeight="1" x14ac:dyDescent="0.3">
      <c r="A48" s="383"/>
      <c r="B48" s="403"/>
      <c r="C48" s="332"/>
      <c r="D48" s="386"/>
      <c r="E48" s="285">
        <v>600</v>
      </c>
      <c r="F48" s="286"/>
      <c r="G48" s="287"/>
      <c r="H48" s="262">
        <v>0</v>
      </c>
      <c r="I48" s="285">
        <v>600</v>
      </c>
      <c r="J48" s="286"/>
      <c r="K48" s="287"/>
      <c r="L48" s="262">
        <v>0</v>
      </c>
      <c r="M48" s="285">
        <v>600</v>
      </c>
      <c r="N48" s="286"/>
      <c r="O48" s="287"/>
      <c r="P48" s="262">
        <v>0</v>
      </c>
      <c r="Q48" s="285">
        <v>600</v>
      </c>
      <c r="R48" s="286"/>
      <c r="S48" s="287"/>
      <c r="T48" s="262">
        <v>0</v>
      </c>
      <c r="U48" s="285">
        <v>600</v>
      </c>
      <c r="V48" s="286"/>
      <c r="W48" s="287"/>
      <c r="X48" s="262">
        <v>0</v>
      </c>
      <c r="Y48" s="285">
        <v>600</v>
      </c>
      <c r="Z48" s="286"/>
      <c r="AA48" s="287"/>
      <c r="AB48" s="262">
        <v>0</v>
      </c>
      <c r="AI48" s="246"/>
      <c r="AJ48" s="247"/>
      <c r="AK48" s="161"/>
      <c r="AL48" s="246"/>
      <c r="AM48" s="247"/>
      <c r="AN48" s="161"/>
      <c r="AO48" s="248"/>
      <c r="AP48" s="249"/>
      <c r="AQ48" s="161"/>
      <c r="AR48" s="248"/>
      <c r="AS48" s="249"/>
      <c r="AT48" s="161"/>
      <c r="AU48" s="248"/>
      <c r="AV48" s="249"/>
      <c r="AW48" s="161"/>
      <c r="AX48" s="248"/>
      <c r="AY48" s="249"/>
      <c r="AZ48" s="161"/>
    </row>
    <row r="49" spans="1:52" ht="30" customHeight="1" x14ac:dyDescent="0.25">
      <c r="A49" s="383"/>
      <c r="B49" s="403"/>
      <c r="C49" s="332"/>
      <c r="D49" s="386"/>
      <c r="E49" s="285">
        <v>800</v>
      </c>
      <c r="F49" s="286"/>
      <c r="G49" s="287"/>
      <c r="H49" s="262">
        <v>0</v>
      </c>
      <c r="I49" s="285">
        <v>800</v>
      </c>
      <c r="J49" s="286"/>
      <c r="K49" s="287"/>
      <c r="L49" s="262">
        <v>0</v>
      </c>
      <c r="M49" s="285">
        <v>800</v>
      </c>
      <c r="N49" s="286"/>
      <c r="O49" s="287"/>
      <c r="P49" s="262">
        <v>0</v>
      </c>
      <c r="Q49" s="285">
        <v>800</v>
      </c>
      <c r="R49" s="286"/>
      <c r="S49" s="287"/>
      <c r="T49" s="262">
        <v>0</v>
      </c>
      <c r="U49" s="285">
        <v>800</v>
      </c>
      <c r="V49" s="286"/>
      <c r="W49" s="287"/>
      <c r="X49" s="262">
        <v>0</v>
      </c>
      <c r="Y49" s="285">
        <v>800</v>
      </c>
      <c r="Z49" s="286"/>
      <c r="AA49" s="287"/>
      <c r="AB49" s="262">
        <v>0</v>
      </c>
      <c r="AI49" s="159"/>
      <c r="AJ49" s="160"/>
      <c r="AK49" s="161"/>
      <c r="AL49" s="159"/>
      <c r="AM49" s="160"/>
      <c r="AN49" s="161"/>
      <c r="AO49" s="159"/>
      <c r="AP49" s="160"/>
      <c r="AQ49" s="161"/>
      <c r="AR49" s="159"/>
      <c r="AS49" s="160"/>
      <c r="AT49" s="161"/>
      <c r="AU49" s="159"/>
      <c r="AV49" s="160"/>
      <c r="AW49" s="161"/>
      <c r="AX49" s="159"/>
      <c r="AY49" s="160"/>
      <c r="AZ49" s="161"/>
    </row>
    <row r="50" spans="1:52" ht="30" customHeight="1" x14ac:dyDescent="0.25">
      <c r="A50" s="383"/>
      <c r="B50" s="403"/>
      <c r="C50" s="332"/>
      <c r="D50" s="386"/>
      <c r="E50" s="282" t="s">
        <v>774</v>
      </c>
      <c r="F50" s="283"/>
      <c r="G50" s="283"/>
      <c r="H50" s="262">
        <v>0</v>
      </c>
      <c r="I50" s="282" t="s">
        <v>774</v>
      </c>
      <c r="J50" s="283"/>
      <c r="K50" s="283"/>
      <c r="L50" s="262">
        <v>0</v>
      </c>
      <c r="M50" s="282" t="s">
        <v>774</v>
      </c>
      <c r="N50" s="283"/>
      <c r="O50" s="283"/>
      <c r="P50" s="262">
        <v>0</v>
      </c>
      <c r="Q50" s="282" t="s">
        <v>774</v>
      </c>
      <c r="R50" s="283"/>
      <c r="S50" s="283"/>
      <c r="T50" s="262">
        <v>0</v>
      </c>
      <c r="U50" s="282" t="s">
        <v>774</v>
      </c>
      <c r="V50" s="283"/>
      <c r="W50" s="283"/>
      <c r="X50" s="262">
        <v>0</v>
      </c>
      <c r="Y50" s="282" t="s">
        <v>774</v>
      </c>
      <c r="Z50" s="283"/>
      <c r="AA50" s="283"/>
      <c r="AB50" s="262">
        <v>0</v>
      </c>
      <c r="AI50" s="159" t="s">
        <v>66</v>
      </c>
      <c r="AJ50" s="160" t="s">
        <v>65</v>
      </c>
      <c r="AK50" s="161">
        <f>IF(AND($E$5=$H$187,$E$4=$G$189),$H$20,0)</f>
        <v>0</v>
      </c>
      <c r="AL50" s="159" t="s">
        <v>66</v>
      </c>
      <c r="AM50" s="160" t="s">
        <v>65</v>
      </c>
      <c r="AN50" s="161"/>
      <c r="AO50" s="159" t="s">
        <v>66</v>
      </c>
      <c r="AP50" s="160" t="s">
        <v>65</v>
      </c>
      <c r="AQ50" s="161"/>
      <c r="AR50" s="159" t="s">
        <v>66</v>
      </c>
      <c r="AS50" s="160" t="s">
        <v>65</v>
      </c>
      <c r="AT50" s="161"/>
      <c r="AU50" s="159" t="s">
        <v>66</v>
      </c>
      <c r="AV50" s="160" t="s">
        <v>65</v>
      </c>
      <c r="AW50" s="161"/>
      <c r="AX50" s="159" t="s">
        <v>66</v>
      </c>
      <c r="AY50" s="160" t="s">
        <v>65</v>
      </c>
      <c r="AZ50" s="161"/>
    </row>
    <row r="51" spans="1:52" ht="30" customHeight="1" x14ac:dyDescent="0.25">
      <c r="A51" s="383"/>
      <c r="B51" s="403"/>
      <c r="C51" s="332"/>
      <c r="D51" s="386"/>
      <c r="E51" s="282" t="s">
        <v>911</v>
      </c>
      <c r="F51" s="283"/>
      <c r="G51" s="283"/>
      <c r="H51" s="284"/>
      <c r="I51" s="282" t="s">
        <v>775</v>
      </c>
      <c r="J51" s="283"/>
      <c r="K51" s="283"/>
      <c r="L51" s="284"/>
      <c r="M51" s="282" t="s">
        <v>775</v>
      </c>
      <c r="N51" s="283"/>
      <c r="O51" s="283"/>
      <c r="P51" s="284"/>
      <c r="Q51" s="282" t="s">
        <v>775</v>
      </c>
      <c r="R51" s="283"/>
      <c r="S51" s="283"/>
      <c r="T51" s="284"/>
      <c r="U51" s="282" t="s">
        <v>775</v>
      </c>
      <c r="V51" s="283"/>
      <c r="W51" s="283"/>
      <c r="X51" s="284"/>
      <c r="Y51" s="282" t="s">
        <v>775</v>
      </c>
      <c r="Z51" s="283"/>
      <c r="AA51" s="283"/>
      <c r="AB51" s="284"/>
      <c r="AI51" s="159" t="s">
        <v>68</v>
      </c>
      <c r="AJ51" s="160" t="s">
        <v>67</v>
      </c>
      <c r="AK51" s="161">
        <f>IF(AND($E$5=$H$188,$E$4=$G$189),$H$20,0)</f>
        <v>0</v>
      </c>
      <c r="AL51" s="159" t="s">
        <v>68</v>
      </c>
      <c r="AM51" s="160" t="s">
        <v>67</v>
      </c>
      <c r="AN51" s="161"/>
      <c r="AO51" s="159" t="s">
        <v>68</v>
      </c>
      <c r="AP51" s="160" t="s">
        <v>67</v>
      </c>
      <c r="AQ51" s="161"/>
      <c r="AR51" s="159" t="s">
        <v>68</v>
      </c>
      <c r="AS51" s="160" t="s">
        <v>67</v>
      </c>
      <c r="AT51" s="161"/>
      <c r="AU51" s="159" t="s">
        <v>68</v>
      </c>
      <c r="AV51" s="160" t="s">
        <v>67</v>
      </c>
      <c r="AW51" s="161"/>
      <c r="AX51" s="159" t="s">
        <v>68</v>
      </c>
      <c r="AY51" s="160" t="s">
        <v>67</v>
      </c>
      <c r="AZ51" s="161"/>
    </row>
    <row r="52" spans="1:52" ht="30" customHeight="1" x14ac:dyDescent="0.25">
      <c r="A52" s="383"/>
      <c r="B52" s="403"/>
      <c r="C52" s="332"/>
      <c r="D52" s="386"/>
      <c r="E52" s="274">
        <v>300</v>
      </c>
      <c r="F52" s="275"/>
      <c r="G52" s="275"/>
      <c r="H52" s="262">
        <v>0</v>
      </c>
      <c r="I52" s="274">
        <v>300</v>
      </c>
      <c r="J52" s="275"/>
      <c r="K52" s="275"/>
      <c r="L52" s="262">
        <v>0</v>
      </c>
      <c r="M52" s="274">
        <v>300</v>
      </c>
      <c r="N52" s="275"/>
      <c r="O52" s="275"/>
      <c r="P52" s="262">
        <v>0</v>
      </c>
      <c r="Q52" s="274">
        <v>300</v>
      </c>
      <c r="R52" s="275"/>
      <c r="S52" s="275"/>
      <c r="T52" s="262">
        <v>0</v>
      </c>
      <c r="U52" s="274">
        <v>300</v>
      </c>
      <c r="V52" s="275"/>
      <c r="W52" s="275"/>
      <c r="X52" s="262">
        <v>0</v>
      </c>
      <c r="Y52" s="274">
        <v>300</v>
      </c>
      <c r="Z52" s="275"/>
      <c r="AA52" s="275"/>
      <c r="AB52" s="262">
        <v>0</v>
      </c>
      <c r="AI52" s="159" t="s">
        <v>70</v>
      </c>
      <c r="AJ52" s="160" t="s">
        <v>69</v>
      </c>
      <c r="AK52" s="161">
        <f>IF(AND($E$5=$H$189,$E$4=$G$189),$H$20,0)</f>
        <v>0</v>
      </c>
      <c r="AL52" s="159" t="s">
        <v>70</v>
      </c>
      <c r="AM52" s="160" t="s">
        <v>69</v>
      </c>
      <c r="AN52" s="161"/>
      <c r="AO52" s="159" t="s">
        <v>70</v>
      </c>
      <c r="AP52" s="160" t="s">
        <v>69</v>
      </c>
      <c r="AQ52" s="161"/>
      <c r="AR52" s="159" t="s">
        <v>70</v>
      </c>
      <c r="AS52" s="160" t="s">
        <v>69</v>
      </c>
      <c r="AT52" s="161"/>
      <c r="AU52" s="159" t="s">
        <v>70</v>
      </c>
      <c r="AV52" s="160" t="s">
        <v>69</v>
      </c>
      <c r="AW52" s="161"/>
      <c r="AX52" s="159" t="s">
        <v>70</v>
      </c>
      <c r="AY52" s="160" t="s">
        <v>69</v>
      </c>
      <c r="AZ52" s="161"/>
    </row>
    <row r="53" spans="1:52" ht="30" customHeight="1" x14ac:dyDescent="0.25">
      <c r="A53" s="383"/>
      <c r="B53" s="403"/>
      <c r="C53" s="332"/>
      <c r="D53" s="386"/>
      <c r="E53" s="274">
        <v>600</v>
      </c>
      <c r="F53" s="275"/>
      <c r="G53" s="275"/>
      <c r="H53" s="262">
        <v>0</v>
      </c>
      <c r="I53" s="274">
        <v>600</v>
      </c>
      <c r="J53" s="275"/>
      <c r="K53" s="275"/>
      <c r="L53" s="262">
        <v>0</v>
      </c>
      <c r="M53" s="274">
        <v>600</v>
      </c>
      <c r="N53" s="275"/>
      <c r="O53" s="275"/>
      <c r="P53" s="262">
        <v>0</v>
      </c>
      <c r="Q53" s="274">
        <v>600</v>
      </c>
      <c r="R53" s="275"/>
      <c r="S53" s="275"/>
      <c r="T53" s="262">
        <v>0</v>
      </c>
      <c r="U53" s="274">
        <v>600</v>
      </c>
      <c r="V53" s="275"/>
      <c r="W53" s="275"/>
      <c r="X53" s="262">
        <v>0</v>
      </c>
      <c r="Y53" s="274">
        <v>600</v>
      </c>
      <c r="Z53" s="275"/>
      <c r="AA53" s="275"/>
      <c r="AB53" s="262">
        <v>0</v>
      </c>
      <c r="AH53" s="162"/>
      <c r="AI53" s="154" t="s">
        <v>72</v>
      </c>
      <c r="AJ53" s="155" t="s">
        <v>71</v>
      </c>
      <c r="AK53" s="2">
        <f>IF(AND($H$30=$F$187,$E$4=$G$187),$H$20,0)</f>
        <v>0</v>
      </c>
      <c r="AL53" s="154" t="s">
        <v>72</v>
      </c>
      <c r="AM53" s="155" t="s">
        <v>71</v>
      </c>
      <c r="AN53" s="2">
        <f>IF(AND($L$30=$F$187,$E$4=$G$187),$L$20,0)</f>
        <v>0</v>
      </c>
      <c r="AO53" s="154" t="s">
        <v>72</v>
      </c>
      <c r="AP53" s="155" t="s">
        <v>71</v>
      </c>
      <c r="AQ53" s="2">
        <f>IF(AND($P$30=$F$187,$E$4=$G$187),$P$20,0)</f>
        <v>0</v>
      </c>
      <c r="AR53" s="154" t="s">
        <v>72</v>
      </c>
      <c r="AS53" s="155" t="s">
        <v>71</v>
      </c>
      <c r="AT53" s="2">
        <f>IF(AND($T$30=$F$187,$E$4=$G$187),$T$20,0)</f>
        <v>0</v>
      </c>
      <c r="AU53" s="154" t="s">
        <v>72</v>
      </c>
      <c r="AV53" s="155" t="s">
        <v>71</v>
      </c>
      <c r="AW53" s="2">
        <f>IF(AND($X$30=$F$187,$E$4=$G$187),$X$20,0)</f>
        <v>0</v>
      </c>
      <c r="AX53" s="154" t="s">
        <v>72</v>
      </c>
      <c r="AY53" s="155" t="s">
        <v>71</v>
      </c>
      <c r="AZ53" s="2">
        <f>IF(AND($AB$30=$F$187,$E$4=$G$187),$AB$20,0)</f>
        <v>0</v>
      </c>
    </row>
    <row r="54" spans="1:52" ht="30" customHeight="1" x14ac:dyDescent="0.25">
      <c r="A54" s="383"/>
      <c r="B54" s="403"/>
      <c r="C54" s="332"/>
      <c r="D54" s="386"/>
      <c r="E54" s="274">
        <v>900</v>
      </c>
      <c r="F54" s="275"/>
      <c r="G54" s="275"/>
      <c r="H54" s="262">
        <v>0</v>
      </c>
      <c r="I54" s="274">
        <v>900</v>
      </c>
      <c r="J54" s="275"/>
      <c r="K54" s="275"/>
      <c r="L54" s="262">
        <v>0</v>
      </c>
      <c r="M54" s="274">
        <v>900</v>
      </c>
      <c r="N54" s="275"/>
      <c r="O54" s="275"/>
      <c r="P54" s="262">
        <v>0</v>
      </c>
      <c r="Q54" s="274">
        <v>900</v>
      </c>
      <c r="R54" s="275"/>
      <c r="S54" s="275"/>
      <c r="T54" s="262">
        <v>0</v>
      </c>
      <c r="U54" s="274">
        <v>900</v>
      </c>
      <c r="V54" s="275"/>
      <c r="W54" s="275"/>
      <c r="X54" s="262">
        <v>0</v>
      </c>
      <c r="Y54" s="274">
        <v>900</v>
      </c>
      <c r="Z54" s="275"/>
      <c r="AA54" s="275"/>
      <c r="AB54" s="262">
        <v>0</v>
      </c>
      <c r="AI54" s="154" t="s">
        <v>74</v>
      </c>
      <c r="AJ54" s="155" t="s">
        <v>73</v>
      </c>
      <c r="AK54" s="2">
        <f>IF(AND($H$30=$F$188,$E$4=$G$187),$H$20,0)</f>
        <v>0</v>
      </c>
      <c r="AL54" s="154" t="s">
        <v>74</v>
      </c>
      <c r="AM54" s="155" t="s">
        <v>73</v>
      </c>
      <c r="AN54" s="2">
        <f>IF(AND($L$30=$F$188,$E$4=$G$187),$L$20,0)</f>
        <v>0</v>
      </c>
      <c r="AO54" s="154" t="s">
        <v>74</v>
      </c>
      <c r="AP54" s="155" t="s">
        <v>73</v>
      </c>
      <c r="AQ54" s="2">
        <f>IF(AND($P$30=$F$188,$E$4=$G$187),$P$20,0)</f>
        <v>0</v>
      </c>
      <c r="AR54" s="154" t="s">
        <v>74</v>
      </c>
      <c r="AS54" s="155" t="s">
        <v>73</v>
      </c>
      <c r="AT54" s="2">
        <f>IF(AND($T$30=$F$188,$E$4=$G$187),$T$20,0)</f>
        <v>0</v>
      </c>
      <c r="AU54" s="154" t="s">
        <v>74</v>
      </c>
      <c r="AV54" s="155" t="s">
        <v>73</v>
      </c>
      <c r="AW54" s="2">
        <f>IF(AND($X$30=$F$188,$E$4=$G$187),$X$20,0)</f>
        <v>0</v>
      </c>
      <c r="AX54" s="154" t="s">
        <v>74</v>
      </c>
      <c r="AY54" s="155" t="s">
        <v>73</v>
      </c>
      <c r="AZ54" s="2">
        <f>IF(AND($AB$30=$F$188,$E$4=$G$187),$AB$20,0)</f>
        <v>0</v>
      </c>
    </row>
    <row r="55" spans="1:52" ht="30" customHeight="1" x14ac:dyDescent="0.25">
      <c r="A55" s="383"/>
      <c r="B55" s="403"/>
      <c r="C55" s="332"/>
      <c r="D55" s="386"/>
      <c r="E55" s="282" t="s">
        <v>912</v>
      </c>
      <c r="F55" s="283"/>
      <c r="G55" s="283"/>
      <c r="H55" s="284"/>
      <c r="I55" s="282" t="s">
        <v>912</v>
      </c>
      <c r="J55" s="283"/>
      <c r="K55" s="283"/>
      <c r="L55" s="284"/>
      <c r="M55" s="282" t="s">
        <v>912</v>
      </c>
      <c r="N55" s="283"/>
      <c r="O55" s="283"/>
      <c r="P55" s="284"/>
      <c r="Q55" s="282" t="s">
        <v>912</v>
      </c>
      <c r="R55" s="283"/>
      <c r="S55" s="283"/>
      <c r="T55" s="284"/>
      <c r="U55" s="282" t="s">
        <v>912</v>
      </c>
      <c r="V55" s="283"/>
      <c r="W55" s="283"/>
      <c r="X55" s="284"/>
      <c r="Y55" s="282" t="s">
        <v>912</v>
      </c>
      <c r="Z55" s="283"/>
      <c r="AA55" s="283"/>
      <c r="AB55" s="284"/>
      <c r="AI55" s="154" t="s">
        <v>76</v>
      </c>
      <c r="AJ55" s="155" t="s">
        <v>75</v>
      </c>
      <c r="AK55" s="2">
        <f>IF(AND($H$30=$F$189,$E$4=$G$187),$H$20,0)</f>
        <v>0</v>
      </c>
      <c r="AL55" s="154" t="s">
        <v>76</v>
      </c>
      <c r="AM55" s="155" t="s">
        <v>75</v>
      </c>
      <c r="AN55" s="2">
        <f>IF(AND($L$30=$F$189,$E$4=$G$187),$L$20,0)</f>
        <v>0</v>
      </c>
      <c r="AO55" s="154" t="s">
        <v>76</v>
      </c>
      <c r="AP55" s="155" t="s">
        <v>75</v>
      </c>
      <c r="AQ55" s="2">
        <f>IF(AND($P$30=$F$189,$E$4=$G$187),$P$20,0)</f>
        <v>0</v>
      </c>
      <c r="AR55" s="154" t="s">
        <v>76</v>
      </c>
      <c r="AS55" s="155" t="s">
        <v>75</v>
      </c>
      <c r="AT55" s="2">
        <f>IF(AND($T$30=$F$189,$E$4=$G$187),$T$20,0)</f>
        <v>0</v>
      </c>
      <c r="AU55" s="154" t="s">
        <v>76</v>
      </c>
      <c r="AV55" s="155" t="s">
        <v>75</v>
      </c>
      <c r="AW55" s="2">
        <f>IF(AND($X$30=$F$189,$E$4=$G$187),$X$20,0)</f>
        <v>0</v>
      </c>
      <c r="AX55" s="154" t="s">
        <v>76</v>
      </c>
      <c r="AY55" s="155" t="s">
        <v>75</v>
      </c>
      <c r="AZ55" s="2">
        <f>IF(AND($AB$30=$F$189,$E$4=$G$187),$AB$20,0)</f>
        <v>0</v>
      </c>
    </row>
    <row r="56" spans="1:52" ht="30" customHeight="1" x14ac:dyDescent="0.25">
      <c r="A56" s="383"/>
      <c r="B56" s="403"/>
      <c r="C56" s="332"/>
      <c r="D56" s="386"/>
      <c r="E56" s="274">
        <v>50</v>
      </c>
      <c r="F56" s="275"/>
      <c r="G56" s="275"/>
      <c r="H56" s="262">
        <v>0</v>
      </c>
      <c r="I56" s="274">
        <v>50</v>
      </c>
      <c r="J56" s="275"/>
      <c r="K56" s="275"/>
      <c r="L56" s="262">
        <v>0</v>
      </c>
      <c r="M56" s="274">
        <v>50</v>
      </c>
      <c r="N56" s="275"/>
      <c r="O56" s="275"/>
      <c r="P56" s="262">
        <v>0</v>
      </c>
      <c r="Q56" s="274">
        <v>50</v>
      </c>
      <c r="R56" s="275"/>
      <c r="S56" s="275"/>
      <c r="T56" s="262">
        <v>0</v>
      </c>
      <c r="U56" s="274">
        <v>50</v>
      </c>
      <c r="V56" s="275"/>
      <c r="W56" s="275"/>
      <c r="X56" s="262">
        <v>0</v>
      </c>
      <c r="Y56" s="274">
        <v>50</v>
      </c>
      <c r="Z56" s="275"/>
      <c r="AA56" s="275"/>
      <c r="AB56" s="262">
        <v>0</v>
      </c>
      <c r="AI56" s="154" t="s">
        <v>78</v>
      </c>
      <c r="AJ56" s="155" t="s">
        <v>77</v>
      </c>
      <c r="AK56" s="2">
        <f>IF(AND($H$30=$F$190,$E$4=$G$187),$H$20,0)</f>
        <v>0</v>
      </c>
      <c r="AL56" s="154" t="s">
        <v>78</v>
      </c>
      <c r="AM56" s="155" t="s">
        <v>77</v>
      </c>
      <c r="AN56" s="2">
        <f>IF(AND($L$30=$F$190,$E$4=$G$187),$L$20,0)</f>
        <v>0</v>
      </c>
      <c r="AO56" s="154" t="s">
        <v>78</v>
      </c>
      <c r="AP56" s="155" t="s">
        <v>77</v>
      </c>
      <c r="AQ56" s="2">
        <f>IF(AND($P$30=$F$190,$E$4=$G$187),$P$20,0)</f>
        <v>0</v>
      </c>
      <c r="AR56" s="154" t="s">
        <v>78</v>
      </c>
      <c r="AS56" s="155" t="s">
        <v>77</v>
      </c>
      <c r="AT56" s="2">
        <f>IF(AND($T$30=$F$190,$E$4=$G$187),$T$20,0)</f>
        <v>0</v>
      </c>
      <c r="AU56" s="154" t="s">
        <v>78</v>
      </c>
      <c r="AV56" s="155" t="s">
        <v>77</v>
      </c>
      <c r="AW56" s="2">
        <f>IF(AND($X$30=$F$190,$E$4=$G$187),$X$20,0)</f>
        <v>0</v>
      </c>
      <c r="AX56" s="154" t="s">
        <v>78</v>
      </c>
      <c r="AY56" s="155" t="s">
        <v>77</v>
      </c>
      <c r="AZ56" s="2">
        <f>IF(AND($AB$30=$F$190,$E$4=$G$187),$AB$20,0)</f>
        <v>0</v>
      </c>
    </row>
    <row r="57" spans="1:52" ht="30" customHeight="1" x14ac:dyDescent="0.25">
      <c r="A57" s="383"/>
      <c r="B57" s="403"/>
      <c r="C57" s="332"/>
      <c r="D57" s="386"/>
      <c r="E57" s="274">
        <v>100</v>
      </c>
      <c r="F57" s="275"/>
      <c r="G57" s="275"/>
      <c r="H57" s="262">
        <v>0</v>
      </c>
      <c r="I57" s="274">
        <v>100</v>
      </c>
      <c r="J57" s="275"/>
      <c r="K57" s="275"/>
      <c r="L57" s="262">
        <v>0</v>
      </c>
      <c r="M57" s="274">
        <v>100</v>
      </c>
      <c r="N57" s="275"/>
      <c r="O57" s="275"/>
      <c r="P57" s="262">
        <v>0</v>
      </c>
      <c r="Q57" s="274">
        <v>100</v>
      </c>
      <c r="R57" s="275"/>
      <c r="S57" s="275"/>
      <c r="T57" s="262">
        <v>0</v>
      </c>
      <c r="U57" s="274">
        <v>100</v>
      </c>
      <c r="V57" s="275"/>
      <c r="W57" s="275"/>
      <c r="X57" s="262">
        <v>0</v>
      </c>
      <c r="Y57" s="274">
        <v>100</v>
      </c>
      <c r="Z57" s="275"/>
      <c r="AA57" s="275"/>
      <c r="AB57" s="262">
        <v>0</v>
      </c>
      <c r="AI57" s="154" t="s">
        <v>80</v>
      </c>
      <c r="AJ57" s="155" t="s">
        <v>79</v>
      </c>
      <c r="AK57" s="2">
        <f>IF(AND($H$30=$F$187,$E$4=$G$188),$H$20,0)</f>
        <v>0</v>
      </c>
      <c r="AL57" s="154" t="s">
        <v>80</v>
      </c>
      <c r="AM57" s="155" t="s">
        <v>79</v>
      </c>
      <c r="AN57" s="2">
        <f>IF(AND($L$30=$F$187,$E$4=$G$188),$L$20,0)</f>
        <v>0</v>
      </c>
      <c r="AO57" s="154" t="s">
        <v>80</v>
      </c>
      <c r="AP57" s="155" t="s">
        <v>79</v>
      </c>
      <c r="AQ57" s="2">
        <f>IF(AND($P$30=$F$187,$E$4=$G$188),$P$20,0)</f>
        <v>0</v>
      </c>
      <c r="AR57" s="154" t="s">
        <v>80</v>
      </c>
      <c r="AS57" s="155" t="s">
        <v>79</v>
      </c>
      <c r="AT57" s="2">
        <f>IF(AND($T$30=$F$187,$E$4=$G$188),$T$20,0)</f>
        <v>0</v>
      </c>
      <c r="AU57" s="154" t="s">
        <v>80</v>
      </c>
      <c r="AV57" s="155" t="s">
        <v>79</v>
      </c>
      <c r="AW57" s="2">
        <f>IF(AND($X$30=$F$187,$E$4=$G$188),$X$20,0)</f>
        <v>0</v>
      </c>
      <c r="AX57" s="154" t="s">
        <v>80</v>
      </c>
      <c r="AY57" s="155" t="s">
        <v>79</v>
      </c>
      <c r="AZ57" s="2">
        <f>IF(AND($AB$30=$F$187,$E$4=$G$188),$AB$20,0)</f>
        <v>0</v>
      </c>
    </row>
    <row r="58" spans="1:52" ht="30" customHeight="1" x14ac:dyDescent="0.25">
      <c r="A58" s="383"/>
      <c r="B58" s="403"/>
      <c r="C58" s="332"/>
      <c r="D58" s="386"/>
      <c r="E58" s="274">
        <v>600</v>
      </c>
      <c r="F58" s="275"/>
      <c r="G58" s="275"/>
      <c r="H58" s="262">
        <v>0</v>
      </c>
      <c r="I58" s="274">
        <v>600</v>
      </c>
      <c r="J58" s="275"/>
      <c r="K58" s="275"/>
      <c r="L58" s="262">
        <v>0</v>
      </c>
      <c r="M58" s="274">
        <v>600</v>
      </c>
      <c r="N58" s="275"/>
      <c r="O58" s="275"/>
      <c r="P58" s="262">
        <v>0</v>
      </c>
      <c r="Q58" s="274">
        <v>600</v>
      </c>
      <c r="R58" s="275"/>
      <c r="S58" s="275"/>
      <c r="T58" s="262">
        <v>0</v>
      </c>
      <c r="U58" s="274">
        <v>600</v>
      </c>
      <c r="V58" s="275"/>
      <c r="W58" s="275"/>
      <c r="X58" s="262">
        <v>0</v>
      </c>
      <c r="Y58" s="274">
        <v>600</v>
      </c>
      <c r="Z58" s="275"/>
      <c r="AA58" s="275"/>
      <c r="AB58" s="262">
        <v>0</v>
      </c>
      <c r="AI58" s="154" t="s">
        <v>82</v>
      </c>
      <c r="AJ58" s="155" t="s">
        <v>81</v>
      </c>
      <c r="AK58" s="2">
        <f>IF(AND($H$30=$F$188,$E$4=$G$188),$H$20,0)</f>
        <v>0</v>
      </c>
      <c r="AL58" s="154" t="s">
        <v>82</v>
      </c>
      <c r="AM58" s="155" t="s">
        <v>81</v>
      </c>
      <c r="AN58" s="2">
        <f>IF(AND($L$30=$F$188,$E$4=$G$188),$L$20,0)</f>
        <v>0</v>
      </c>
      <c r="AO58" s="154" t="s">
        <v>82</v>
      </c>
      <c r="AP58" s="155" t="s">
        <v>81</v>
      </c>
      <c r="AQ58" s="2">
        <f>IF(AND($P$30=$F$188,$E$4=$G$188),$P$20,0)</f>
        <v>0</v>
      </c>
      <c r="AR58" s="154" t="s">
        <v>82</v>
      </c>
      <c r="AS58" s="155" t="s">
        <v>81</v>
      </c>
      <c r="AT58" s="2">
        <f>IF(AND($T$30=$F$188,$E$4=$G$188),$T$20,0)</f>
        <v>0</v>
      </c>
      <c r="AU58" s="154" t="s">
        <v>82</v>
      </c>
      <c r="AV58" s="155" t="s">
        <v>81</v>
      </c>
      <c r="AW58" s="2">
        <f>IF(AND($X$30=$F$188,$E$4=$G$188),$X$20,0)</f>
        <v>0</v>
      </c>
      <c r="AX58" s="154" t="s">
        <v>82</v>
      </c>
      <c r="AY58" s="155" t="s">
        <v>81</v>
      </c>
      <c r="AZ58" s="2">
        <f>IF(AND($AB$30=$F$188,$E$4=$G$188),$AB$20,0)</f>
        <v>0</v>
      </c>
    </row>
    <row r="59" spans="1:52" ht="30" customHeight="1" x14ac:dyDescent="0.25">
      <c r="A59" s="383"/>
      <c r="B59" s="403"/>
      <c r="C59" s="332"/>
      <c r="D59" s="386"/>
      <c r="E59" s="274" t="s">
        <v>776</v>
      </c>
      <c r="F59" s="275"/>
      <c r="G59" s="275"/>
      <c r="H59" s="262">
        <v>0</v>
      </c>
      <c r="I59" s="274" t="s">
        <v>776</v>
      </c>
      <c r="J59" s="275"/>
      <c r="K59" s="275"/>
      <c r="L59" s="262">
        <v>0</v>
      </c>
      <c r="M59" s="274" t="s">
        <v>776</v>
      </c>
      <c r="N59" s="275"/>
      <c r="O59" s="275"/>
      <c r="P59" s="262">
        <v>0</v>
      </c>
      <c r="Q59" s="274" t="s">
        <v>776</v>
      </c>
      <c r="R59" s="275"/>
      <c r="S59" s="275"/>
      <c r="T59" s="262">
        <v>0</v>
      </c>
      <c r="U59" s="274" t="s">
        <v>776</v>
      </c>
      <c r="V59" s="275"/>
      <c r="W59" s="275"/>
      <c r="X59" s="262">
        <v>0</v>
      </c>
      <c r="Y59" s="274" t="s">
        <v>776</v>
      </c>
      <c r="Z59" s="275"/>
      <c r="AA59" s="275"/>
      <c r="AB59" s="262">
        <v>0</v>
      </c>
      <c r="AI59" s="154" t="s">
        <v>84</v>
      </c>
      <c r="AJ59" s="155" t="s">
        <v>83</v>
      </c>
      <c r="AK59" s="2">
        <f>IF(AND($H$30=$F$189,$E$4=$G$188),$H$20,0)</f>
        <v>0</v>
      </c>
      <c r="AL59" s="154" t="s">
        <v>84</v>
      </c>
      <c r="AM59" s="155" t="s">
        <v>83</v>
      </c>
      <c r="AN59" s="2">
        <f>IF(AND($L$30=$F$189,$E$4=$G$188),$L$20,0)</f>
        <v>0</v>
      </c>
      <c r="AO59" s="154" t="s">
        <v>84</v>
      </c>
      <c r="AP59" s="155" t="s">
        <v>83</v>
      </c>
      <c r="AQ59" s="2">
        <f>IF(AND($P$30=$F$189,$E$4=$G$188),$P$20,0)</f>
        <v>0</v>
      </c>
      <c r="AR59" s="154" t="s">
        <v>84</v>
      </c>
      <c r="AS59" s="155" t="s">
        <v>83</v>
      </c>
      <c r="AT59" s="2">
        <f>IF(AND($T$30=$F$189,$E$4=$G$188),$T$20,0)</f>
        <v>0</v>
      </c>
      <c r="AU59" s="154" t="s">
        <v>84</v>
      </c>
      <c r="AV59" s="155" t="s">
        <v>83</v>
      </c>
      <c r="AW59" s="2">
        <f>IF(AND($X$30=$F$189,$E$4=$G$188),$X$20,0)</f>
        <v>0</v>
      </c>
      <c r="AX59" s="154" t="s">
        <v>84</v>
      </c>
      <c r="AY59" s="155" t="s">
        <v>83</v>
      </c>
      <c r="AZ59" s="2">
        <f>IF(AND($AB$30=$F$189,$E$4=$G$188),$AB$20,0)</f>
        <v>0</v>
      </c>
    </row>
    <row r="60" spans="1:52" ht="30" customHeight="1" x14ac:dyDescent="0.25">
      <c r="A60" s="383"/>
      <c r="B60" s="403"/>
      <c r="C60" s="332"/>
      <c r="D60" s="386"/>
      <c r="E60" s="274" t="s">
        <v>782</v>
      </c>
      <c r="F60" s="275"/>
      <c r="G60" s="275"/>
      <c r="H60" s="262">
        <v>0</v>
      </c>
      <c r="I60" s="274" t="s">
        <v>782</v>
      </c>
      <c r="J60" s="275"/>
      <c r="K60" s="275"/>
      <c r="L60" s="262">
        <v>0</v>
      </c>
      <c r="M60" s="274" t="s">
        <v>782</v>
      </c>
      <c r="N60" s="275"/>
      <c r="O60" s="275"/>
      <c r="P60" s="262">
        <v>0</v>
      </c>
      <c r="Q60" s="274" t="s">
        <v>782</v>
      </c>
      <c r="R60" s="275"/>
      <c r="S60" s="275"/>
      <c r="T60" s="262">
        <v>0</v>
      </c>
      <c r="U60" s="274" t="s">
        <v>782</v>
      </c>
      <c r="V60" s="275"/>
      <c r="W60" s="275"/>
      <c r="X60" s="262">
        <v>0</v>
      </c>
      <c r="Y60" s="274" t="s">
        <v>782</v>
      </c>
      <c r="Z60" s="275"/>
      <c r="AA60" s="275"/>
      <c r="AB60" s="262">
        <v>0</v>
      </c>
      <c r="AI60" s="154" t="s">
        <v>86</v>
      </c>
      <c r="AJ60" s="155" t="s">
        <v>85</v>
      </c>
      <c r="AK60" s="2">
        <f>IF(AND($H$30=$F$190,$E$4=$G$188),$H$20,0)</f>
        <v>0</v>
      </c>
      <c r="AL60" s="154" t="s">
        <v>86</v>
      </c>
      <c r="AM60" s="155" t="s">
        <v>85</v>
      </c>
      <c r="AN60" s="2">
        <f>IF(AND($L$30=$F$190,$E$4=$G$188),$L$20,0)</f>
        <v>0</v>
      </c>
      <c r="AO60" s="154" t="s">
        <v>86</v>
      </c>
      <c r="AP60" s="155" t="s">
        <v>85</v>
      </c>
      <c r="AQ60" s="2">
        <f>IF(AND($P$30=$F$190,$E$4=$G$188),$P$20,0)</f>
        <v>0</v>
      </c>
      <c r="AR60" s="154" t="s">
        <v>86</v>
      </c>
      <c r="AS60" s="155" t="s">
        <v>85</v>
      </c>
      <c r="AT60" s="2">
        <f>IF(AND($T$30=$F$190,$E$4=$G$188),$T$20,0)</f>
        <v>0</v>
      </c>
      <c r="AU60" s="154" t="s">
        <v>86</v>
      </c>
      <c r="AV60" s="155" t="s">
        <v>85</v>
      </c>
      <c r="AW60" s="2">
        <f>IF(AND($X$30=$F$190,$E$4=$G$188),$X$20,0)</f>
        <v>0</v>
      </c>
      <c r="AX60" s="154" t="s">
        <v>86</v>
      </c>
      <c r="AY60" s="155" t="s">
        <v>85</v>
      </c>
      <c r="AZ60" s="2">
        <f>IF(AND($AB$30=$F$190,$E$4=$G$188),$AB$20,0)</f>
        <v>0</v>
      </c>
    </row>
    <row r="61" spans="1:52" ht="30" customHeight="1" x14ac:dyDescent="0.25">
      <c r="A61" s="383"/>
      <c r="B61" s="403"/>
      <c r="C61" s="332"/>
      <c r="D61" s="386"/>
      <c r="E61" s="282" t="s">
        <v>777</v>
      </c>
      <c r="F61" s="283"/>
      <c r="G61" s="283"/>
      <c r="H61" s="284"/>
      <c r="I61" s="282" t="s">
        <v>777</v>
      </c>
      <c r="J61" s="283"/>
      <c r="K61" s="283"/>
      <c r="L61" s="284"/>
      <c r="M61" s="282" t="s">
        <v>777</v>
      </c>
      <c r="N61" s="283"/>
      <c r="O61" s="283"/>
      <c r="P61" s="284"/>
      <c r="Q61" s="282" t="s">
        <v>777</v>
      </c>
      <c r="R61" s="283"/>
      <c r="S61" s="283"/>
      <c r="T61" s="284"/>
      <c r="U61" s="282" t="s">
        <v>777</v>
      </c>
      <c r="V61" s="283"/>
      <c r="W61" s="283"/>
      <c r="X61" s="284"/>
      <c r="Y61" s="282" t="s">
        <v>777</v>
      </c>
      <c r="Z61" s="283"/>
      <c r="AA61" s="283"/>
      <c r="AB61" s="284"/>
      <c r="AI61" s="154" t="s">
        <v>88</v>
      </c>
      <c r="AJ61" s="155" t="s">
        <v>87</v>
      </c>
      <c r="AK61" s="2">
        <f>IF(AND($H$30=$F$187,$E$4=$G$189),$H$20,0)</f>
        <v>0</v>
      </c>
      <c r="AL61" s="154" t="s">
        <v>88</v>
      </c>
      <c r="AM61" s="155" t="s">
        <v>87</v>
      </c>
      <c r="AN61" s="2">
        <f>IF(AND($L$30=$F$187,$E$4=$G$189),$L$20,0)</f>
        <v>0</v>
      </c>
      <c r="AO61" s="154" t="s">
        <v>88</v>
      </c>
      <c r="AP61" s="155" t="s">
        <v>87</v>
      </c>
      <c r="AQ61" s="2">
        <f>IF(AND($P$30=$F$187,$E$4=$G$189),$P$20,0)</f>
        <v>0</v>
      </c>
      <c r="AR61" s="154" t="s">
        <v>88</v>
      </c>
      <c r="AS61" s="155" t="s">
        <v>87</v>
      </c>
      <c r="AT61" s="2">
        <f>IF(AND($T$30=$F$187,$E$4=$G$189),$T$20,0)</f>
        <v>0</v>
      </c>
      <c r="AU61" s="154" t="s">
        <v>88</v>
      </c>
      <c r="AV61" s="155" t="s">
        <v>87</v>
      </c>
      <c r="AW61" s="2">
        <f>IF(AND($X$30=$F$187,$E$4=$G$189),$X$20,0)</f>
        <v>0</v>
      </c>
      <c r="AX61" s="154" t="s">
        <v>88</v>
      </c>
      <c r="AY61" s="155" t="s">
        <v>87</v>
      </c>
      <c r="AZ61" s="2">
        <f>IF(AND($AB$30=$F$187,$E$4=$G$189),$AB$20,0)</f>
        <v>0</v>
      </c>
    </row>
    <row r="62" spans="1:52" ht="30" customHeight="1" x14ac:dyDescent="0.25">
      <c r="A62" s="383"/>
      <c r="B62" s="403"/>
      <c r="C62" s="332"/>
      <c r="D62" s="386"/>
      <c r="E62" s="274">
        <v>300</v>
      </c>
      <c r="F62" s="275"/>
      <c r="G62" s="275"/>
      <c r="H62" s="262">
        <v>0</v>
      </c>
      <c r="I62" s="274">
        <v>300</v>
      </c>
      <c r="J62" s="275"/>
      <c r="K62" s="275"/>
      <c r="L62" s="262">
        <v>0</v>
      </c>
      <c r="M62" s="274">
        <v>300</v>
      </c>
      <c r="N62" s="275"/>
      <c r="O62" s="275"/>
      <c r="P62" s="262">
        <v>0</v>
      </c>
      <c r="Q62" s="274">
        <v>300</v>
      </c>
      <c r="R62" s="275"/>
      <c r="S62" s="275"/>
      <c r="T62" s="262">
        <v>0</v>
      </c>
      <c r="U62" s="274">
        <v>300</v>
      </c>
      <c r="V62" s="275"/>
      <c r="W62" s="275"/>
      <c r="X62" s="262">
        <v>0</v>
      </c>
      <c r="Y62" s="274">
        <v>300</v>
      </c>
      <c r="Z62" s="275"/>
      <c r="AA62" s="275"/>
      <c r="AB62" s="262">
        <v>0</v>
      </c>
      <c r="AI62" s="154" t="s">
        <v>90</v>
      </c>
      <c r="AJ62" s="155" t="s">
        <v>89</v>
      </c>
      <c r="AK62" s="2">
        <f>IF(AND($H$30=$F$188,$E$4=$G$189),$H$20,0)</f>
        <v>0</v>
      </c>
      <c r="AL62" s="154" t="s">
        <v>90</v>
      </c>
      <c r="AM62" s="155" t="s">
        <v>89</v>
      </c>
      <c r="AN62" s="2">
        <f>IF(AND($L$30=$F$188,$E$4=$G$189),$L$20,0)</f>
        <v>0</v>
      </c>
      <c r="AO62" s="154" t="s">
        <v>90</v>
      </c>
      <c r="AP62" s="155" t="s">
        <v>89</v>
      </c>
      <c r="AQ62" s="2">
        <f>IF(AND($P$30=$F$188,$E$4=$G$189),$P$20,0)</f>
        <v>0</v>
      </c>
      <c r="AR62" s="154" t="s">
        <v>90</v>
      </c>
      <c r="AS62" s="155" t="s">
        <v>89</v>
      </c>
      <c r="AT62" s="2">
        <f>IF(AND($T$30=$F$188,$E$4=$G$189),$T$20,0)</f>
        <v>0</v>
      </c>
      <c r="AU62" s="154" t="s">
        <v>90</v>
      </c>
      <c r="AV62" s="155" t="s">
        <v>89</v>
      </c>
      <c r="AW62" s="2">
        <f>IF(AND($X$30=$F$188,$E$4=$G$189),$X$20,0)</f>
        <v>0</v>
      </c>
      <c r="AX62" s="154" t="s">
        <v>90</v>
      </c>
      <c r="AY62" s="155" t="s">
        <v>89</v>
      </c>
      <c r="AZ62" s="2">
        <f>IF(AND($AB$30=$F$188,$E$4=$G$189),$AB$20,0)</f>
        <v>0</v>
      </c>
    </row>
    <row r="63" spans="1:52" ht="30" customHeight="1" x14ac:dyDescent="0.25">
      <c r="A63" s="383"/>
      <c r="B63" s="403"/>
      <c r="C63" s="332"/>
      <c r="D63" s="386"/>
      <c r="E63" s="274">
        <v>600</v>
      </c>
      <c r="F63" s="275"/>
      <c r="G63" s="275"/>
      <c r="H63" s="262">
        <v>0</v>
      </c>
      <c r="I63" s="274">
        <v>600</v>
      </c>
      <c r="J63" s="275"/>
      <c r="K63" s="275"/>
      <c r="L63" s="262">
        <v>0</v>
      </c>
      <c r="M63" s="274">
        <v>600</v>
      </c>
      <c r="N63" s="275"/>
      <c r="O63" s="275"/>
      <c r="P63" s="262">
        <v>0</v>
      </c>
      <c r="Q63" s="274">
        <v>600</v>
      </c>
      <c r="R63" s="275"/>
      <c r="S63" s="275"/>
      <c r="T63" s="262">
        <v>0</v>
      </c>
      <c r="U63" s="274">
        <v>600</v>
      </c>
      <c r="V63" s="275"/>
      <c r="W63" s="275"/>
      <c r="X63" s="262">
        <v>0</v>
      </c>
      <c r="Y63" s="274">
        <v>600</v>
      </c>
      <c r="Z63" s="275"/>
      <c r="AA63" s="275"/>
      <c r="AB63" s="262">
        <v>0</v>
      </c>
      <c r="AI63" s="154" t="s">
        <v>92</v>
      </c>
      <c r="AJ63" s="155" t="s">
        <v>91</v>
      </c>
      <c r="AK63" s="2">
        <f>IF(AND($H$30=$F$189,$E$4=$G$189),$H$20,0)</f>
        <v>0</v>
      </c>
      <c r="AL63" s="154" t="s">
        <v>92</v>
      </c>
      <c r="AM63" s="155" t="s">
        <v>91</v>
      </c>
      <c r="AN63" s="2">
        <f>IF(AND($L$30=$F$189,$E$4=$G$189),$L$20,0)</f>
        <v>0</v>
      </c>
      <c r="AO63" s="154" t="s">
        <v>92</v>
      </c>
      <c r="AP63" s="155" t="s">
        <v>91</v>
      </c>
      <c r="AQ63" s="2">
        <f>IF(AND($P$30=$F$189,$E$4=$G$189),$P$20,0)</f>
        <v>0</v>
      </c>
      <c r="AR63" s="154" t="s">
        <v>92</v>
      </c>
      <c r="AS63" s="155" t="s">
        <v>91</v>
      </c>
      <c r="AT63" s="2">
        <f>IF(AND($T$30=$F$189,$E$4=$G$189),$T$20,0)</f>
        <v>0</v>
      </c>
      <c r="AU63" s="154" t="s">
        <v>92</v>
      </c>
      <c r="AV63" s="155" t="s">
        <v>91</v>
      </c>
      <c r="AW63" s="2">
        <f>IF(AND($X$30=$F$189,$E$4=$G$189),$X$20,0)</f>
        <v>0</v>
      </c>
      <c r="AX63" s="154" t="s">
        <v>92</v>
      </c>
      <c r="AY63" s="155" t="s">
        <v>91</v>
      </c>
      <c r="AZ63" s="2">
        <f>IF(AND($AB$30=$F$189,$E$4=$G$189),$AB$20,0)</f>
        <v>0</v>
      </c>
    </row>
    <row r="64" spans="1:52" ht="30" customHeight="1" x14ac:dyDescent="0.25">
      <c r="A64" s="383"/>
      <c r="B64" s="403"/>
      <c r="C64" s="332"/>
      <c r="D64" s="386"/>
      <c r="E64" s="274" t="s">
        <v>776</v>
      </c>
      <c r="F64" s="275"/>
      <c r="G64" s="275"/>
      <c r="H64" s="262">
        <v>0</v>
      </c>
      <c r="I64" s="274" t="s">
        <v>776</v>
      </c>
      <c r="J64" s="275"/>
      <c r="K64" s="275"/>
      <c r="L64" s="262">
        <v>0</v>
      </c>
      <c r="M64" s="274" t="s">
        <v>776</v>
      </c>
      <c r="N64" s="275"/>
      <c r="O64" s="275"/>
      <c r="P64" s="262">
        <v>0</v>
      </c>
      <c r="Q64" s="274" t="s">
        <v>776</v>
      </c>
      <c r="R64" s="275"/>
      <c r="S64" s="275"/>
      <c r="T64" s="262">
        <v>0</v>
      </c>
      <c r="U64" s="274" t="s">
        <v>776</v>
      </c>
      <c r="V64" s="275"/>
      <c r="W64" s="275"/>
      <c r="X64" s="262">
        <v>0</v>
      </c>
      <c r="Y64" s="274" t="s">
        <v>776</v>
      </c>
      <c r="Z64" s="275"/>
      <c r="AA64" s="275"/>
      <c r="AB64" s="262">
        <v>0</v>
      </c>
      <c r="AI64" s="154" t="s">
        <v>94</v>
      </c>
      <c r="AJ64" s="155" t="s">
        <v>93</v>
      </c>
      <c r="AK64" s="2">
        <f>IF(AND($H$30=$F$190,$E$4=$G$189),$H$20,0)</f>
        <v>0</v>
      </c>
      <c r="AL64" s="154" t="s">
        <v>94</v>
      </c>
      <c r="AM64" s="155" t="s">
        <v>93</v>
      </c>
      <c r="AN64" s="2">
        <f>IF(AND($L$30=$F$190,$E$4=$G$189),$L$20,0)</f>
        <v>0</v>
      </c>
      <c r="AO64" s="154" t="s">
        <v>94</v>
      </c>
      <c r="AP64" s="155" t="s">
        <v>93</v>
      </c>
      <c r="AQ64" s="2">
        <f>IF(AND($P$30=$F$190,$E$4=$G$189),$P$20,0)</f>
        <v>0</v>
      </c>
      <c r="AR64" s="154" t="s">
        <v>94</v>
      </c>
      <c r="AS64" s="155" t="s">
        <v>93</v>
      </c>
      <c r="AT64" s="2">
        <f>IF(AND($T$30=$F$190,$E$4=$G$189),$T$20,0)</f>
        <v>0</v>
      </c>
      <c r="AU64" s="154" t="s">
        <v>94</v>
      </c>
      <c r="AV64" s="155" t="s">
        <v>93</v>
      </c>
      <c r="AW64" s="2">
        <f>IF(AND($X$30=$F$190,$E$4=$G$189),$X$20,0)</f>
        <v>0</v>
      </c>
      <c r="AX64" s="154" t="s">
        <v>94</v>
      </c>
      <c r="AY64" s="155" t="s">
        <v>93</v>
      </c>
      <c r="AZ64" s="2">
        <f>IF(AND($AB$30=$F$190,$E$4=$G$189),$AB$20,0)</f>
        <v>0</v>
      </c>
    </row>
    <row r="65" spans="1:52" ht="34.5" customHeight="1" thickBot="1" x14ac:dyDescent="0.3">
      <c r="A65" s="384"/>
      <c r="B65" s="403"/>
      <c r="C65" s="332"/>
      <c r="D65" s="387"/>
      <c r="E65" s="311" t="s">
        <v>778</v>
      </c>
      <c r="F65" s="312"/>
      <c r="G65" s="312"/>
      <c r="H65" s="263">
        <v>0</v>
      </c>
      <c r="I65" s="311" t="s">
        <v>778</v>
      </c>
      <c r="J65" s="312"/>
      <c r="K65" s="312"/>
      <c r="L65" s="263">
        <v>0</v>
      </c>
      <c r="M65" s="311" t="s">
        <v>778</v>
      </c>
      <c r="N65" s="312"/>
      <c r="O65" s="312"/>
      <c r="P65" s="263">
        <v>0</v>
      </c>
      <c r="Q65" s="311" t="s">
        <v>778</v>
      </c>
      <c r="R65" s="312"/>
      <c r="S65" s="312"/>
      <c r="T65" s="263">
        <v>0</v>
      </c>
      <c r="U65" s="311" t="s">
        <v>778</v>
      </c>
      <c r="V65" s="312"/>
      <c r="W65" s="312"/>
      <c r="X65" s="263">
        <v>0</v>
      </c>
      <c r="Y65" s="311" t="s">
        <v>778</v>
      </c>
      <c r="Z65" s="312"/>
      <c r="AA65" s="312"/>
      <c r="AB65" s="263">
        <v>0</v>
      </c>
      <c r="AI65" s="154" t="s">
        <v>96</v>
      </c>
      <c r="AJ65" s="155" t="s">
        <v>95</v>
      </c>
      <c r="AK65" s="2">
        <f>IF(AND($E$4=$G$187,$H$30=$F187),$H$20,0)</f>
        <v>0</v>
      </c>
      <c r="AL65" s="154" t="s">
        <v>96</v>
      </c>
      <c r="AM65" s="155" t="s">
        <v>95</v>
      </c>
      <c r="AN65" s="2">
        <f>IF(AND($E$4=$G$187,$L$30=$F187),$L$20,0)</f>
        <v>0</v>
      </c>
      <c r="AO65" s="154" t="s">
        <v>96</v>
      </c>
      <c r="AP65" s="155" t="s">
        <v>95</v>
      </c>
      <c r="AQ65" s="2">
        <f>IF(AND($E$4=$G$187,$P$30=$F187),$P$20,0)</f>
        <v>0</v>
      </c>
      <c r="AR65" s="154" t="s">
        <v>96</v>
      </c>
      <c r="AS65" s="155" t="s">
        <v>95</v>
      </c>
      <c r="AT65" s="2">
        <f>IF(AND($E$4=$G$187,$T$30=$F187),$T$20,0)</f>
        <v>0</v>
      </c>
      <c r="AU65" s="154" t="s">
        <v>96</v>
      </c>
      <c r="AV65" s="155" t="s">
        <v>95</v>
      </c>
      <c r="AW65" s="2">
        <f>IF(AND($E$4=$G$187,$X$30=$F187),$X$20,0)</f>
        <v>0</v>
      </c>
      <c r="AX65" s="154" t="s">
        <v>96</v>
      </c>
      <c r="AY65" s="155" t="s">
        <v>95</v>
      </c>
      <c r="AZ65" s="2">
        <f>IF(AND($E$4=$G$187,$AB$30=$F187),$AB$20,0)</f>
        <v>0</v>
      </c>
    </row>
    <row r="66" spans="1:52" ht="15" customHeight="1" thickBot="1" x14ac:dyDescent="0.3">
      <c r="A66" s="388"/>
      <c r="B66" s="388"/>
      <c r="C66" s="388"/>
      <c r="D66" s="388"/>
      <c r="E66" s="388"/>
      <c r="F66" s="388"/>
      <c r="G66" s="388"/>
      <c r="H66" s="388"/>
      <c r="I66" s="388"/>
      <c r="J66" s="388"/>
      <c r="K66" s="388"/>
      <c r="L66" s="388"/>
      <c r="M66" s="388"/>
      <c r="N66" s="388"/>
      <c r="O66" s="388"/>
      <c r="P66" s="388"/>
      <c r="Q66" s="388"/>
      <c r="R66" s="388"/>
      <c r="S66" s="388"/>
      <c r="T66" s="388"/>
      <c r="U66" s="388"/>
      <c r="V66" s="388"/>
      <c r="W66" s="388"/>
      <c r="X66" s="388"/>
      <c r="Y66" s="388"/>
      <c r="Z66" s="388"/>
      <c r="AA66" s="388"/>
      <c r="AB66" s="388"/>
      <c r="AI66" s="154"/>
      <c r="AJ66" s="155"/>
      <c r="AL66" s="154"/>
      <c r="AM66" s="155"/>
      <c r="AO66" s="154"/>
      <c r="AP66" s="155"/>
      <c r="AR66" s="154"/>
      <c r="AS66" s="155"/>
      <c r="AU66" s="154"/>
      <c r="AV66" s="155"/>
      <c r="AX66" s="154"/>
      <c r="AY66" s="155"/>
    </row>
    <row r="67" spans="1:52" ht="30" hidden="1" customHeight="1" thickBot="1" x14ac:dyDescent="0.3">
      <c r="B67" s="164"/>
      <c r="C67" s="164"/>
      <c r="D67" s="165"/>
      <c r="F67" s="265"/>
      <c r="G67" s="106"/>
      <c r="J67" s="2"/>
      <c r="AI67" s="154" t="s">
        <v>99</v>
      </c>
      <c r="AJ67" s="155" t="s">
        <v>98</v>
      </c>
      <c r="AK67" s="2">
        <f>IF(AND($E$4=$G$187,$H$30=$F$188),$H$20,0)</f>
        <v>0</v>
      </c>
      <c r="AL67" s="154" t="s">
        <v>99</v>
      </c>
      <c r="AM67" s="155" t="s">
        <v>98</v>
      </c>
      <c r="AN67" s="2">
        <f>IF(AND($E$4=$G$187,$L$30=$F$188),$L$20,0)</f>
        <v>0</v>
      </c>
      <c r="AO67" s="154" t="s">
        <v>99</v>
      </c>
      <c r="AP67" s="155" t="s">
        <v>98</v>
      </c>
      <c r="AQ67" s="2">
        <f>IF(AND($E$4=$G$187,$P$30=$F$188),$P$20,0)</f>
        <v>0</v>
      </c>
      <c r="AR67" s="154" t="s">
        <v>99</v>
      </c>
      <c r="AS67" s="155" t="s">
        <v>98</v>
      </c>
      <c r="AT67" s="2">
        <f>IF(AND($E$4=$G$187,$T$30=$F$188),$T$20,0)</f>
        <v>0</v>
      </c>
      <c r="AU67" s="154" t="s">
        <v>99</v>
      </c>
      <c r="AV67" s="155" t="s">
        <v>98</v>
      </c>
      <c r="AW67" s="2">
        <f>IF(AND($E$4=$G$187,$X$30=$F$188),$X$20,0)</f>
        <v>0</v>
      </c>
      <c r="AX67" s="154" t="s">
        <v>99</v>
      </c>
      <c r="AY67" s="155" t="s">
        <v>98</v>
      </c>
      <c r="AZ67" s="2">
        <f>IF(AND($E$4=$G$187,$AB$30=$F$188),$AB$20,0)</f>
        <v>0</v>
      </c>
    </row>
    <row r="68" spans="1:52" ht="30" hidden="1" customHeight="1" x14ac:dyDescent="0.25">
      <c r="B68" s="164"/>
      <c r="C68" s="164"/>
      <c r="D68" s="165"/>
      <c r="E68" s="281" t="s">
        <v>770</v>
      </c>
      <c r="F68" s="281"/>
      <c r="G68" s="281"/>
      <c r="H68" s="2">
        <f>IF($E$15=0,0,H31/$E$15)</f>
        <v>0</v>
      </c>
      <c r="I68" s="281" t="s">
        <v>770</v>
      </c>
      <c r="J68" s="281"/>
      <c r="K68" s="281"/>
      <c r="L68" s="2">
        <f>IF($E$15=0,0,L31/$E$15)</f>
        <v>0</v>
      </c>
      <c r="M68" s="281" t="s">
        <v>770</v>
      </c>
      <c r="N68" s="281"/>
      <c r="O68" s="281"/>
      <c r="P68" s="2">
        <f>IF($E$15=0,0,P31/$E$15)</f>
        <v>0</v>
      </c>
      <c r="Q68" s="281" t="s">
        <v>770</v>
      </c>
      <c r="R68" s="281"/>
      <c r="S68" s="281"/>
      <c r="T68" s="2">
        <f>IF($E$15=0,0,T31/$E$15)</f>
        <v>0</v>
      </c>
      <c r="U68" s="281" t="s">
        <v>770</v>
      </c>
      <c r="V68" s="281"/>
      <c r="W68" s="281"/>
      <c r="X68" s="2">
        <f>IF($E$15=0,0,X31/$E$15)</f>
        <v>0</v>
      </c>
      <c r="Y68" s="281" t="s">
        <v>770</v>
      </c>
      <c r="Z68" s="281"/>
      <c r="AA68" s="281"/>
      <c r="AB68" s="2">
        <f>IF($E$15=0,0,AB31/$E$15)</f>
        <v>0</v>
      </c>
      <c r="AI68" s="154" t="s">
        <v>101</v>
      </c>
      <c r="AJ68" s="155" t="s">
        <v>100</v>
      </c>
      <c r="AK68" s="2">
        <f>IF(AND($E$4=$G$187,$H$30=$F$189),$H$20,0)</f>
        <v>0</v>
      </c>
      <c r="AL68" s="154" t="s">
        <v>101</v>
      </c>
      <c r="AM68" s="155" t="s">
        <v>100</v>
      </c>
      <c r="AN68" s="2">
        <f>IF(AND($E$4=$G$187,$L$30=$F$189),$L$20,0)</f>
        <v>0</v>
      </c>
      <c r="AO68" s="154" t="s">
        <v>101</v>
      </c>
      <c r="AP68" s="155" t="s">
        <v>100</v>
      </c>
      <c r="AQ68" s="2">
        <f>IF(AND($E$4=$G$187,$P$30=$F$189),$P$20,0)</f>
        <v>0</v>
      </c>
      <c r="AR68" s="154" t="s">
        <v>101</v>
      </c>
      <c r="AS68" s="155" t="s">
        <v>100</v>
      </c>
      <c r="AT68" s="2">
        <f>IF(AND($E$4=$G$187,$T$30=$F$189),$T$20,0)</f>
        <v>0</v>
      </c>
      <c r="AU68" s="154" t="s">
        <v>101</v>
      </c>
      <c r="AV68" s="155" t="s">
        <v>100</v>
      </c>
      <c r="AW68" s="2">
        <f>IF(AND($E$4=$G$187,$X$30=$F$189),$X$20,0)</f>
        <v>0</v>
      </c>
      <c r="AX68" s="154" t="s">
        <v>101</v>
      </c>
      <c r="AY68" s="155" t="s">
        <v>100</v>
      </c>
      <c r="AZ68" s="2">
        <f>IF(AND($E$4=$G$187,$AB$30=$F$189),$AB$20,0)</f>
        <v>0</v>
      </c>
    </row>
    <row r="69" spans="1:52" ht="30" hidden="1" customHeight="1" thickBot="1" x14ac:dyDescent="0.3">
      <c r="B69" s="164"/>
      <c r="C69" s="157" t="s">
        <v>851</v>
      </c>
      <c r="D69" s="166" t="str">
        <f>IF($D$23=$M$153,$R$153*$D$22/1000,IF($D$23=$M$154,$R$154*$D$22/1000,IF($D$23=$M$155,$R$155*$D$22/1000,IF($D$23=$M$156,$R$156*$D$22/1000,IF($D$23=$M$157,$R$157*$D$22/1000,IF($D$23=$M$158,$R$158*$D$22/1000,IF($D$23=$M$159,$R$159*$D$22/1000,IF($D$23=$M$160,$R$160*$D$22/1000,IF($D$23=$M$161,$R$161*$D$22/1000,IF($D$23=$M$162,$R$162*$D$22/1000,"Что-то не так с сечением"))))))))))</f>
        <v>Что-то не так с сечением</v>
      </c>
      <c r="E69" s="281" t="s">
        <v>938</v>
      </c>
      <c r="F69" s="281"/>
      <c r="G69" s="281"/>
      <c r="H69" s="2" t="str">
        <f>IF($D$23=$M$153,$R$153*H30/1000,IF($D$23=$M$154,$R$154*H30/1000,IF($D$23=$M$155,$R$155*H30/1000,IF($D$23=$M$156,$R$156*H30/1000,IF($D$23=$M$157,$R$157*H30/1000,IF($D$23=$M$158,$R$158*H30/1000,IF($D$23=$M$159,$R$159*H30/1000,IF($D$23=$M$160,$R$160*H30/1000,IF($D$23=$M$161,$R$161*H30/1000,IF($D$23=$M$162,$R$162*H30/1000,"Что-то не так с сечением"))))))))))</f>
        <v>Что-то не так с сечением</v>
      </c>
      <c r="I69" s="281" t="s">
        <v>851</v>
      </c>
      <c r="J69" s="281"/>
      <c r="K69" s="281"/>
      <c r="L69" s="2" t="str">
        <f>IF($D$23=$M$153,$R$153*L30/1000,IF($D$23=$M$154,$R$154*L30/1000,IF($D$23=$M$155,$R$155*L30/1000,IF($D$23=$M$156,$R$156*L30/1000,IF($D$23=$M$157,$R$157*L30/1000,IF($D$23=$M$158,$R$158*L30/1000,IF($D$23=$M$159,$R$159*L30/1000,IF($D$23=$M$160,$R$160*L30/1000,IF($D$23=$M$161,$R$161*L30/1000,IF($D$23=$M$162,$R$162*L30/1000,"Что-то не так с сечением"))))))))))</f>
        <v>Что-то не так с сечением</v>
      </c>
      <c r="M69" s="281" t="s">
        <v>851</v>
      </c>
      <c r="N69" s="281"/>
      <c r="O69" s="281"/>
      <c r="P69" s="2" t="str">
        <f>IF($D$23=$M$153,$R$153*P30/1000,IF($D$23=$M$154,$R$154*P30/1000,IF($D$23=$M$155,$R$155*P30/1000,IF($D$23=$M$156,$R$156*P30/1000,IF($D$23=$M$157,$R$157*P30/1000,IF($D$23=$M$158,$R$158*P30/1000,IF($D$23=$M$159,$R$159*P30/1000,IF($D$23=$M$160,$R$160*P30/1000,IF($D$23=$M$161,$R$161*P30/1000,IF($D$23=$M$162,$R$162*P30/1000,"Что-то не так с сечением"))))))))))</f>
        <v>Что-то не так с сечением</v>
      </c>
      <c r="Q69" s="281" t="s">
        <v>851</v>
      </c>
      <c r="R69" s="281"/>
      <c r="S69" s="281"/>
      <c r="T69" s="2" t="str">
        <f>IF($D$23=$M$153,$R$153*T30/1000,IF($D$23=$M$154,$R$154*T30/1000,IF($D$23=$M$155,$R$155*T30/1000,IF($D$23=$M$156,$R$156*T30/1000,IF($D$23=$M$157,$R$157*T30/1000,IF($D$23=$M$158,$R$158*T30/1000,IF($D$23=$M$159,$R$159*T30/1000,IF($D$23=$M$160,$R$160*T30/1000,IF($D$23=$M$161,$R$161*T30/1000,IF($D$23=$M$162,$R$162*T30/1000,"Что-то не так с сечением"))))))))))</f>
        <v>Что-то не так с сечением</v>
      </c>
      <c r="U69" s="281" t="s">
        <v>851</v>
      </c>
      <c r="V69" s="281"/>
      <c r="W69" s="281"/>
      <c r="X69" s="2" t="str">
        <f>IF($D$23=$M$153,$R$153*X30/1000,IF($D$23=$M$154,$R$154*X30/1000,IF($D$23=$M$155,$R$155*X30/1000,IF($D$23=$M$156,$R$156*X30/1000,IF($D$23=$M$157,$R$157*X30/1000,IF($D$23=$M$158,$R$158*X30/1000,IF($D$23=$M$159,$R$159*X30/1000,IF($D$23=$M$160,$R$160*X30/1000,IF($D$23=$M$161,$R$161*X30/1000,IF($D$23=$M$162,$R$162*X30/1000,"Что-то не так с сечением"))))))))))</f>
        <v>Что-то не так с сечением</v>
      </c>
      <c r="Y69" s="281" t="s">
        <v>851</v>
      </c>
      <c r="Z69" s="281"/>
      <c r="AA69" s="281"/>
      <c r="AB69" s="2" t="str">
        <f>IF($D$23=$M$153,$R$153*AB30/1000,IF($D$23=$M$154,$R$154*AB30/1000,IF($D$23=$M$155,$R$155*AB30/1000,IF($D$23=$M$156,$R$156*AB30/1000,IF($D$23=$M$157,$R$157*AB30/1000,IF($D$23=$M$158,$R$158*AB30/1000,IF($D$23=$M$159,$R$159*AB30/1000,IF($D$23=$M$160,$R$160*AB30/1000,IF($D$23=$M$161,$R$161*AB30/1000,IF($D$23=$M$162,$R$162*AB30/1000,"Что-то не так с сечением"))))))))))</f>
        <v>Что-то не так с сечением</v>
      </c>
      <c r="AI69" s="154" t="s">
        <v>103</v>
      </c>
      <c r="AJ69" s="155" t="s">
        <v>102</v>
      </c>
      <c r="AK69" s="2">
        <f>IF(AND($E$4=$G$187,$H$30=$F$190),$H$20,0)</f>
        <v>0</v>
      </c>
      <c r="AL69" s="154" t="s">
        <v>103</v>
      </c>
      <c r="AM69" s="155" t="s">
        <v>102</v>
      </c>
      <c r="AN69" s="2">
        <f>IF(AND($E$4=$G$187,$L$30=$F$190),$L$20,0)</f>
        <v>0</v>
      </c>
      <c r="AO69" s="154" t="s">
        <v>103</v>
      </c>
      <c r="AP69" s="155" t="s">
        <v>102</v>
      </c>
      <c r="AQ69" s="2">
        <f>IF(AND($E$4=$G$187,$P$30=$F$190),$P$20,0)</f>
        <v>0</v>
      </c>
      <c r="AR69" s="154" t="s">
        <v>103</v>
      </c>
      <c r="AS69" s="155" t="s">
        <v>102</v>
      </c>
      <c r="AT69" s="2">
        <f>IF(AND($E$4=$G$187,$T$30=$F$190),$T$20,0)</f>
        <v>0</v>
      </c>
      <c r="AU69" s="154" t="s">
        <v>103</v>
      </c>
      <c r="AV69" s="155" t="s">
        <v>102</v>
      </c>
      <c r="AW69" s="2">
        <f>IF(AND($E$4=$G$187,$X$30=$F$190),$X$20,0)</f>
        <v>0</v>
      </c>
      <c r="AX69" s="154" t="s">
        <v>103</v>
      </c>
      <c r="AY69" s="155" t="s">
        <v>102</v>
      </c>
      <c r="AZ69" s="2">
        <f>IF(AND($E$4=$G$187,$AB$30=$F$190),$AB$20,0)</f>
        <v>0</v>
      </c>
    </row>
    <row r="70" spans="1:52" ht="30" hidden="1" customHeight="1" x14ac:dyDescent="0.25">
      <c r="B70" s="2"/>
      <c r="F70" s="2"/>
      <c r="G70" s="2" t="s">
        <v>941</v>
      </c>
      <c r="H70" s="2">
        <f>H68*E15</f>
        <v>0</v>
      </c>
      <c r="J70" s="2"/>
      <c r="K70" s="2" t="s">
        <v>941</v>
      </c>
      <c r="L70" s="2">
        <f>L$68*$E$15</f>
        <v>0</v>
      </c>
      <c r="O70" s="2" t="s">
        <v>941</v>
      </c>
      <c r="P70" s="2">
        <f>P$68*$E$15</f>
        <v>0</v>
      </c>
      <c r="S70" s="2" t="s">
        <v>941</v>
      </c>
      <c r="T70" s="2">
        <f>T$68*$E$15</f>
        <v>0</v>
      </c>
      <c r="W70" s="2" t="s">
        <v>941</v>
      </c>
      <c r="X70" s="2">
        <f>X$68*$E$15</f>
        <v>0</v>
      </c>
      <c r="AA70" s="2" t="s">
        <v>941</v>
      </c>
      <c r="AB70" s="2">
        <f>AB$68*$E$15</f>
        <v>0</v>
      </c>
      <c r="AI70" s="154" t="s">
        <v>105</v>
      </c>
      <c r="AJ70" s="155" t="s">
        <v>104</v>
      </c>
      <c r="AK70" s="2">
        <f>IF(AND($E$4=$G$188,$H$30=$F$187),$H$20,0)</f>
        <v>0</v>
      </c>
      <c r="AL70" s="154" t="s">
        <v>105</v>
      </c>
      <c r="AM70" s="155" t="s">
        <v>104</v>
      </c>
      <c r="AN70" s="2">
        <f>IF(AND($E$4=$G$188,$L$30=$F$187),$L$20,0)</f>
        <v>0</v>
      </c>
      <c r="AO70" s="154" t="s">
        <v>105</v>
      </c>
      <c r="AP70" s="155" t="s">
        <v>104</v>
      </c>
      <c r="AQ70" s="2">
        <f>IF(AND($E$4=$G$188,$P$30=$F$187),$P$20,0)</f>
        <v>0</v>
      </c>
      <c r="AR70" s="154" t="s">
        <v>105</v>
      </c>
      <c r="AS70" s="155" t="s">
        <v>104</v>
      </c>
      <c r="AT70" s="2">
        <f>IF(AND($E$4=$G$188,$T$30=$F$187),$T$20,0)</f>
        <v>0</v>
      </c>
      <c r="AU70" s="154" t="s">
        <v>105</v>
      </c>
      <c r="AV70" s="155" t="s">
        <v>104</v>
      </c>
      <c r="AW70" s="2">
        <f>IF(AND($E$4=$G$188,$X$30=$F$187),$X$20,0)</f>
        <v>0</v>
      </c>
      <c r="AX70" s="154" t="s">
        <v>105</v>
      </c>
      <c r="AY70" s="155" t="s">
        <v>104</v>
      </c>
      <c r="AZ70" s="2">
        <f>IF(AND($E$4=$G$188,$AB$30=$F$187),$AB$20,0)</f>
        <v>0</v>
      </c>
    </row>
    <row r="71" spans="1:52" ht="30" hidden="1" customHeight="1" thickBot="1" x14ac:dyDescent="0.3">
      <c r="B71" s="2"/>
      <c r="F71" s="2"/>
      <c r="G71" s="2" t="s">
        <v>942</v>
      </c>
      <c r="H71" s="2" t="str">
        <f>IF($E$16=$D$168,IF($H$70&lt;=$N$153,$M$153,IF($H$70&lt;=$N$154,$M$154,IF($H$70&lt;=$N$155,$M$155,IF($H$70&lt;=$N$156,$M$156,IF($H$70&lt;=$N$157,$M$157,IF($H$70&lt;=$N$158,$M$158,IF($H$70&lt;=$N$159,$M$159,IF($H$70&lt;=$N$160,$M$160,IF($H$70&lt;=$N$161,$M$161,IF($H$70&lt;=$N$162,$M$162,"Просьба связаться с Вашим менеджером для расчета")))))))))),IF($H$70&lt;=$P$154,$M$154,IF($H$70&lt;=$P$155,$M$155,IF($H$70&lt;=$P$156,$M$156,IF($H$70&lt;=$P$157,$M$157,IF($H$70&lt;=$P$158,$M$158,IF($H$70&lt;=$P$159,$M$159,IF($H$70&lt;=$P$160,$M$160,IF($H$70&lt;=$P$161,$M$161,IF($H$70&lt;=$P$162,$M$162,"Попробуйте медь"))))))))))</f>
        <v>4х30</v>
      </c>
      <c r="J71" s="2"/>
      <c r="K71" s="2" t="s">
        <v>942</v>
      </c>
      <c r="L71" s="2" t="str">
        <f>IF($E$16=$D$168,IF($L$70&lt;=$N$153,$M$153,IF($L$70&lt;=$N$154,$M$154,IF($L$70&lt;=$N$155,$M$155,IF($L$70&lt;=$N$156,$M$156,IF($L$70&lt;=$N$157,$M$157,IF($L$70&lt;=$N$158,$M$158,IF($L$70&lt;=$N$159,$M$159,IF($L$70&lt;=$N$160,$M$160,IF($L$70&lt;=$N$161,$M$161,IF($L$70&lt;=$N$162,$M$162,"Просьба связаться с Вашим менеджером для расчета")))))))))),IF($L$70&lt;=$P$154,$M$154,IF($L$70&lt;=$P$155,$M$155,IF($L$70&lt;=$P$156,$M$156,IF($L$70&lt;=$P$157,$M$157,IF($L$70&lt;=$P$158,$M$158,IF($L$70&lt;=$P$159,$M$159,IF($L$70&lt;=$P$160,$M$160,IF($L$70&lt;=$P$161,$M$161,IF($L$70&lt;=$P$162,$M$162,"Попробуйте медь"))))))))))</f>
        <v>4х30</v>
      </c>
      <c r="O71" s="2" t="s">
        <v>942</v>
      </c>
      <c r="P71" s="2" t="str">
        <f>IF($E$16=$D$168,IF($P$70&lt;=$N$153,$M$153,IF($P$70&lt;=$N$154,$M$154,IF($P$70&lt;=$N$155,$M$155,IF($P$70&lt;=$N$156,$M$156,IF($P$70&lt;=$N$157,$M$157,IF($P$70&lt;=$N$158,$M$158,IF($P$70&lt;=$N$159,$M$159,IF($P$70&lt;=$N$160,$M$160,IF($P$70&lt;=$N$161,$M$161,IF($P$70&lt;=$N$162,$M$162,"Просьба связаться с Вашим менеджером для расчета")))))))))),IF($P$70&lt;=$P$154,$M$154,IF($P$70&lt;=$P$155,$M$155,IF($P$70&lt;=$P$156,$M$156,IF($P$70&lt;=$P$157,$M$157,IF($P$70&lt;=$P$158,$M$158,IF($P$70&lt;=$P$159,$M$159,IF($P$70&lt;=$P$160,$M$160,IF($P$70&lt;=$P$161,$M$161,IF($P$70&lt;=$P$162,$M$162,"Попробуйте медь"))))))))))</f>
        <v>4х30</v>
      </c>
      <c r="S71" s="2" t="s">
        <v>942</v>
      </c>
      <c r="T71" s="2" t="str">
        <f>IF($E$16=$D$168,IF($T$70&lt;=$N$153,$M$153,IF($T$70&lt;=$N$154,$M$154,IF($T$70&lt;=$N$155,$M$155,IF($T$70&lt;=$N$156,$M$156,IF($T$70&lt;=$N$157,$M$157,IF($T$70&lt;=$N$158,$M$158,IF($T$70&lt;=$N$159,$M$159,IF($T$70&lt;=$N$160,$M$160,IF($T$70&lt;=$N$161,$M$161,IF($T$70&lt;=$N$162,$M$162,"Просьба связаться с Вашим менеджером для расчета")))))))))),IF($T$70&lt;=#REF!,$M$154,IF($T$70&lt;=#REF!,$M$155,IF($T$70&lt;=#REF!,$M$156,IF($T$70&lt;=#REF!,$M$157,IF($T$70&lt;=#REF!,$M$158,IF($T$70&lt;=#REF!,$M$159,IF($T$70&lt;=$T$160,$M$160,IF($T$70&lt;=$T$161,$M$161,IF($T$70&lt;=$T$162,$M$162,"Попробуйте медь"))))))))))</f>
        <v>4х30</v>
      </c>
      <c r="W71" s="2" t="s">
        <v>942</v>
      </c>
      <c r="X71" s="2" t="str">
        <f>IF($E$16=$D$168,IF($X$70&lt;=$N$153,$M$153,IF($X$70&lt;=$N$154,$M$154,IF($X$70&lt;=$N$155,$M$155,IF($X$70&lt;=$N$156,$M$156,IF($X$70&lt;=$N$157,$M$157,IF($X$70&lt;=$N$158,$M$158,IF($X$70&lt;=$N$159,$M$159,IF($X$70&lt;=$N$160,$M$160,IF($X$70&lt;=$N$161,$M$161,IF($X$70&lt;=$N$162,$M$162,"Просьба связаться с Вашим менеджером для расчета")))))))))),IF($X$70&lt;=$X$154,$M$154,IF($X$70&lt;=$X$155,$M$155,IF($X$70&lt;=$X$156,$M$156,IF($X$70&lt;=$X$157,$M$157,IF($X$70&lt;=$X$158,$M$158,IF($X$70&lt;=$X$159,$M$159,IF($X$70&lt;=$X$160,$M$160,IF($X$70&lt;=$X$161,$M$161,IF($X$70&lt;=$X$162,$M$162,"Попробуйте медь"))))))))))</f>
        <v>4х30</v>
      </c>
      <c r="AA71" s="2" t="s">
        <v>942</v>
      </c>
      <c r="AB71" s="2" t="str">
        <f>IF($E$16=$D$168,IF($AB$70&lt;=$N$153,$M$153,IF($AB$70&lt;=$N$154,$M$154,IF($AB$70&lt;=$N$155,$M$155,IF($AB$70&lt;=$N$156,$M$156,IF($AB$70&lt;=$N$157,$M$157,IF($AB$70&lt;=$N$158,$M$158,IF($AB$70&lt;=$N$159,$M$159,IF($AB$70&lt;=$N$160,$M$160,IF($AB$70&lt;=$N$161,$M$161,IF($AB$70&lt;=$N$162,$M$162,"Просьба связаться с Вашим менеджером для расчета")))))))))),IF($AB$70&lt;=$AB$154,$M$154,IF($AB$70&lt;=$AB$155,$M$155,IF($AB$70&lt;=$AB$156,$M$156,IF($AB$70&lt;=$AB$157,$M$157,IF($AB$70&lt;=$AB$158,$M$158,IF($AB$70&lt;=$AB$159,$M$159,IF($AB$70&lt;=$AB$160,$M$160,IF($AB$70&lt;=$AB$161,$M$161,IF($AB$70&lt;=$AB$162,$M$162,"Попробуйте медь"))))))))))</f>
        <v>4х30</v>
      </c>
      <c r="AI71" s="154" t="s">
        <v>107</v>
      </c>
      <c r="AJ71" s="155" t="s">
        <v>106</v>
      </c>
      <c r="AK71" s="2">
        <f>IF(AND($E$4=$G$188,$H$30=$F$188),$H$20,0)</f>
        <v>0</v>
      </c>
      <c r="AL71" s="154" t="s">
        <v>107</v>
      </c>
      <c r="AM71" s="155" t="s">
        <v>106</v>
      </c>
      <c r="AN71" s="2">
        <f>IF(AND($E$4=$G$188,$L$30=$F$188),$L$20,0)</f>
        <v>0</v>
      </c>
      <c r="AO71" s="154" t="s">
        <v>107</v>
      </c>
      <c r="AP71" s="155" t="s">
        <v>106</v>
      </c>
      <c r="AQ71" s="2">
        <f>IF(AND($E$4=$G$188,$P$30=$F$188),$P$20,0)</f>
        <v>0</v>
      </c>
      <c r="AR71" s="154" t="s">
        <v>107</v>
      </c>
      <c r="AS71" s="155" t="s">
        <v>106</v>
      </c>
      <c r="AT71" s="2">
        <f>IF(AND($E$4=$G$188,$T$30=$F$188),$T$20,0)</f>
        <v>0</v>
      </c>
      <c r="AU71" s="154" t="s">
        <v>107</v>
      </c>
      <c r="AV71" s="155" t="s">
        <v>106</v>
      </c>
      <c r="AW71" s="2">
        <f>IF(AND($E$4=$G$188,$X$30=$F$188),$X$20,0)</f>
        <v>0</v>
      </c>
      <c r="AX71" s="154" t="s">
        <v>107</v>
      </c>
      <c r="AY71" s="155" t="s">
        <v>106</v>
      </c>
      <c r="AZ71" s="2">
        <f>IF(AND($E$4=$G$188,$AB$30=$F$188),$AB$20,0)</f>
        <v>0</v>
      </c>
    </row>
    <row r="72" spans="1:52" ht="30" customHeight="1" x14ac:dyDescent="0.25">
      <c r="A72" s="418" t="s">
        <v>984</v>
      </c>
      <c r="B72" s="415" t="s">
        <v>1003</v>
      </c>
      <c r="C72" s="416"/>
      <c r="D72" s="416"/>
      <c r="E72" s="416"/>
      <c r="F72" s="416"/>
      <c r="G72" s="416"/>
      <c r="H72" s="416"/>
      <c r="I72" s="416"/>
      <c r="J72" s="417"/>
      <c r="K72" s="403"/>
      <c r="L72" s="332"/>
      <c r="M72" s="332"/>
      <c r="N72" s="332"/>
      <c r="O72" s="332"/>
      <c r="P72" s="332"/>
      <c r="Q72" s="332"/>
      <c r="R72" s="332"/>
      <c r="S72" s="332"/>
      <c r="T72" s="332"/>
      <c r="U72" s="332"/>
      <c r="V72" s="332"/>
      <c r="W72" s="332"/>
      <c r="X72" s="332"/>
      <c r="Y72" s="332"/>
      <c r="Z72" s="332"/>
      <c r="AA72" s="332"/>
      <c r="AB72" s="332"/>
      <c r="AI72" s="154"/>
      <c r="AJ72" s="155"/>
      <c r="AL72" s="154"/>
      <c r="AM72" s="155"/>
      <c r="AO72" s="154"/>
      <c r="AP72" s="155"/>
      <c r="AR72" s="154"/>
      <c r="AS72" s="155"/>
      <c r="AU72" s="154"/>
      <c r="AV72" s="155"/>
      <c r="AX72" s="154"/>
      <c r="AY72" s="155"/>
    </row>
    <row r="73" spans="1:52" ht="30" customHeight="1" x14ac:dyDescent="0.25">
      <c r="A73" s="371"/>
      <c r="B73" s="358" t="s">
        <v>811</v>
      </c>
      <c r="C73" s="347" t="s">
        <v>813</v>
      </c>
      <c r="D73" s="348"/>
      <c r="E73" s="406" t="s">
        <v>784</v>
      </c>
      <c r="F73" s="406"/>
      <c r="G73" s="406"/>
      <c r="H73" s="406"/>
      <c r="I73" s="406"/>
      <c r="J73" s="211" t="s">
        <v>998</v>
      </c>
      <c r="K73" s="403"/>
      <c r="L73" s="332"/>
      <c r="M73" s="332"/>
      <c r="N73" s="332"/>
      <c r="O73" s="332"/>
      <c r="P73" s="332"/>
      <c r="Q73" s="332"/>
      <c r="R73" s="332"/>
      <c r="S73" s="332"/>
      <c r="T73" s="332"/>
      <c r="U73" s="332"/>
      <c r="V73" s="332"/>
      <c r="W73" s="332"/>
      <c r="X73" s="332"/>
      <c r="Y73" s="332"/>
      <c r="Z73" s="332"/>
      <c r="AA73" s="332"/>
      <c r="AB73" s="332"/>
      <c r="AC73" s="164"/>
      <c r="AD73" s="164"/>
      <c r="AI73" s="154" t="s">
        <v>109</v>
      </c>
      <c r="AJ73" s="155" t="s">
        <v>108</v>
      </c>
      <c r="AK73" s="2">
        <f>IF(AND($E$4=$G$188,$H$30=$F$189),$H$20,0)</f>
        <v>0</v>
      </c>
      <c r="AL73" s="154" t="s">
        <v>109</v>
      </c>
      <c r="AM73" s="155" t="s">
        <v>108</v>
      </c>
      <c r="AN73" s="2">
        <f>IF(AND($E$4=$G$188,$L$30=$F$189),$L$20,0)</f>
        <v>0</v>
      </c>
      <c r="AO73" s="154" t="s">
        <v>109</v>
      </c>
      <c r="AP73" s="155" t="s">
        <v>108</v>
      </c>
      <c r="AQ73" s="2">
        <f>IF(AND($E$4=$G$188,$P$30=$F$189),$P$20,0)</f>
        <v>0</v>
      </c>
      <c r="AR73" s="154" t="s">
        <v>109</v>
      </c>
      <c r="AS73" s="155" t="s">
        <v>108</v>
      </c>
      <c r="AT73" s="2">
        <f>IF(AND($E$4=$G$188,$T$30=$F$189),$T$20,0)</f>
        <v>0</v>
      </c>
      <c r="AU73" s="154" t="s">
        <v>109</v>
      </c>
      <c r="AV73" s="155" t="s">
        <v>108</v>
      </c>
      <c r="AW73" s="2">
        <f>IF(AND($E$4=$G$188,$X$30=$F$189),$X$20,0)</f>
        <v>0</v>
      </c>
      <c r="AX73" s="154" t="s">
        <v>109</v>
      </c>
      <c r="AY73" s="155" t="s">
        <v>108</v>
      </c>
      <c r="AZ73" s="2">
        <f>IF(AND($E$4=$G$188,$AB$30=$F$189),$AB$20,0)</f>
        <v>0</v>
      </c>
    </row>
    <row r="74" spans="1:52" s="167" customFormat="1" ht="39.950000000000003" customHeight="1" x14ac:dyDescent="0.25">
      <c r="A74" s="371"/>
      <c r="B74" s="355"/>
      <c r="C74" s="349"/>
      <c r="D74" s="350"/>
      <c r="E74" s="407" t="s">
        <v>691</v>
      </c>
      <c r="F74" s="407"/>
      <c r="G74" s="407"/>
      <c r="H74" s="407"/>
      <c r="I74" s="407"/>
      <c r="J74" s="214">
        <v>0</v>
      </c>
      <c r="K74" s="403"/>
      <c r="L74" s="332"/>
      <c r="M74" s="332"/>
      <c r="N74" s="332"/>
      <c r="O74" s="332"/>
      <c r="P74" s="332"/>
      <c r="Q74" s="332"/>
      <c r="R74" s="332"/>
      <c r="S74" s="332"/>
      <c r="T74" s="332"/>
      <c r="U74" s="332"/>
      <c r="V74" s="332"/>
      <c r="W74" s="332"/>
      <c r="X74" s="332"/>
      <c r="Y74" s="332"/>
      <c r="Z74" s="332"/>
      <c r="AA74" s="332"/>
      <c r="AB74" s="332"/>
      <c r="AI74" s="168" t="s">
        <v>111</v>
      </c>
      <c r="AJ74" s="169" t="s">
        <v>110</v>
      </c>
      <c r="AK74" s="167">
        <f>IF(AND($E$4=$G$188,$H$30=$F$190),$H$20,0)</f>
        <v>0</v>
      </c>
      <c r="AL74" s="168" t="s">
        <v>111</v>
      </c>
      <c r="AM74" s="169" t="s">
        <v>110</v>
      </c>
      <c r="AN74" s="167">
        <f>IF(AND($E$4=$G$188,$L$30=$F$190),$L$20,0)</f>
        <v>0</v>
      </c>
      <c r="AO74" s="168" t="s">
        <v>111</v>
      </c>
      <c r="AP74" s="169" t="s">
        <v>110</v>
      </c>
      <c r="AQ74" s="167">
        <f>IF(AND($E$4=$G$188,$P$30=$F$190),$P$20,0)</f>
        <v>0</v>
      </c>
      <c r="AR74" s="168" t="s">
        <v>111</v>
      </c>
      <c r="AS74" s="169" t="s">
        <v>110</v>
      </c>
      <c r="AT74" s="167">
        <f>IF(AND($E$4=$G$188,$T$30=$F$190),$T$20,0)</f>
        <v>0</v>
      </c>
      <c r="AU74" s="168" t="s">
        <v>111</v>
      </c>
      <c r="AV74" s="169" t="s">
        <v>110</v>
      </c>
      <c r="AW74" s="167">
        <f>IF(AND($E$4=$G$188,$X$30=$F$190),$X$20,0)</f>
        <v>0</v>
      </c>
      <c r="AX74" s="168" t="s">
        <v>111</v>
      </c>
      <c r="AY74" s="169" t="s">
        <v>110</v>
      </c>
      <c r="AZ74" s="167">
        <f>IF(AND($E$4=$G$188,$AB$30=$F$190),$AB$20,0)</f>
        <v>0</v>
      </c>
    </row>
    <row r="75" spans="1:52" ht="30" customHeight="1" x14ac:dyDescent="0.25">
      <c r="A75" s="371"/>
      <c r="B75" s="355" t="s">
        <v>812</v>
      </c>
      <c r="C75" s="347" t="s">
        <v>814</v>
      </c>
      <c r="D75" s="348"/>
      <c r="E75" s="406" t="s">
        <v>784</v>
      </c>
      <c r="F75" s="406"/>
      <c r="G75" s="406"/>
      <c r="H75" s="406"/>
      <c r="I75" s="406"/>
      <c r="J75" s="305">
        <v>0</v>
      </c>
      <c r="K75" s="403"/>
      <c r="L75" s="332"/>
      <c r="M75" s="332"/>
      <c r="N75" s="332"/>
      <c r="O75" s="332"/>
      <c r="P75" s="332"/>
      <c r="Q75" s="332"/>
      <c r="R75" s="332"/>
      <c r="S75" s="332"/>
      <c r="T75" s="332"/>
      <c r="U75" s="332"/>
      <c r="V75" s="332"/>
      <c r="W75" s="332"/>
      <c r="X75" s="332"/>
      <c r="Y75" s="332"/>
      <c r="Z75" s="332"/>
      <c r="AA75" s="332"/>
      <c r="AB75" s="332"/>
      <c r="AC75" s="164"/>
      <c r="AG75" s="162"/>
      <c r="AH75" s="162"/>
      <c r="AI75" s="154" t="s">
        <v>113</v>
      </c>
      <c r="AJ75" s="155" t="s">
        <v>112</v>
      </c>
      <c r="AK75" s="2">
        <f>IF(AND($E$4=$G$189,$H$30=$F$187),$H$20,0)</f>
        <v>0</v>
      </c>
      <c r="AL75" s="154" t="s">
        <v>113</v>
      </c>
      <c r="AM75" s="155" t="s">
        <v>112</v>
      </c>
      <c r="AN75" s="2">
        <f>IF(AND($E$4=$G$189,$L$30=$F$187),$L$20,0)</f>
        <v>0</v>
      </c>
      <c r="AO75" s="154" t="s">
        <v>113</v>
      </c>
      <c r="AP75" s="155" t="s">
        <v>112</v>
      </c>
      <c r="AQ75" s="2">
        <f>IF(AND($E$4=$G$189,$P$30=$F$187),$P$20,0)</f>
        <v>0</v>
      </c>
      <c r="AR75" s="154" t="s">
        <v>113</v>
      </c>
      <c r="AS75" s="155" t="s">
        <v>112</v>
      </c>
      <c r="AT75" s="2">
        <f>IF(AND($E$4=$G$189,$T$30=$F$187),$T$20,0)</f>
        <v>0</v>
      </c>
      <c r="AU75" s="154" t="s">
        <v>113</v>
      </c>
      <c r="AV75" s="155" t="s">
        <v>112</v>
      </c>
      <c r="AW75" s="2">
        <f>IF(AND($E$4=$G$189,$X$30=$F$187),$X$20,0)</f>
        <v>0</v>
      </c>
      <c r="AX75" s="154" t="s">
        <v>113</v>
      </c>
      <c r="AY75" s="155" t="s">
        <v>112</v>
      </c>
      <c r="AZ75" s="2">
        <f>IF(AND($E$4=$G$189,$AB$30=$F$187),$AB$20,0)</f>
        <v>0</v>
      </c>
    </row>
    <row r="76" spans="1:52" s="167" customFormat="1" ht="39.950000000000003" customHeight="1" x14ac:dyDescent="0.25">
      <c r="A76" s="371"/>
      <c r="B76" s="355"/>
      <c r="C76" s="349"/>
      <c r="D76" s="350"/>
      <c r="E76" s="407" t="s">
        <v>689</v>
      </c>
      <c r="F76" s="407"/>
      <c r="G76" s="407"/>
      <c r="H76" s="407"/>
      <c r="I76" s="407"/>
      <c r="J76" s="305">
        <v>0</v>
      </c>
      <c r="K76" s="403"/>
      <c r="L76" s="332"/>
      <c r="M76" s="332"/>
      <c r="N76" s="332"/>
      <c r="O76" s="332"/>
      <c r="P76" s="332"/>
      <c r="Q76" s="332"/>
      <c r="R76" s="332"/>
      <c r="S76" s="332"/>
      <c r="T76" s="332"/>
      <c r="U76" s="332"/>
      <c r="V76" s="332"/>
      <c r="W76" s="332"/>
      <c r="X76" s="332"/>
      <c r="Y76" s="332"/>
      <c r="Z76" s="332"/>
      <c r="AA76" s="332"/>
      <c r="AB76" s="332"/>
      <c r="AI76" s="168" t="s">
        <v>115</v>
      </c>
      <c r="AJ76" s="169" t="s">
        <v>114</v>
      </c>
      <c r="AK76" s="167">
        <f>IF(AND($E$4=$G$189,$H$30=$F$188),$H$20,0)</f>
        <v>0</v>
      </c>
      <c r="AL76" s="168" t="s">
        <v>115</v>
      </c>
      <c r="AM76" s="169" t="s">
        <v>114</v>
      </c>
      <c r="AN76" s="167">
        <f>IF(AND($E$4=$G$189,$L$30=$F$188),$L$20,0)</f>
        <v>0</v>
      </c>
      <c r="AO76" s="168" t="s">
        <v>115</v>
      </c>
      <c r="AP76" s="169" t="s">
        <v>114</v>
      </c>
      <c r="AQ76" s="167">
        <f>IF(AND($E$4=$G$189,$P$30=$F$188),$P$20,0)</f>
        <v>0</v>
      </c>
      <c r="AR76" s="168" t="s">
        <v>115</v>
      </c>
      <c r="AS76" s="169" t="s">
        <v>114</v>
      </c>
      <c r="AT76" s="167">
        <f>IF(AND($E$4=$G$189,$T$30=$F$188),$T$20,0)</f>
        <v>0</v>
      </c>
      <c r="AU76" s="168" t="s">
        <v>115</v>
      </c>
      <c r="AV76" s="169" t="s">
        <v>114</v>
      </c>
      <c r="AW76" s="167">
        <f>IF(AND($E$4=$G$189,$X$30=$F$188),$X$20,0)</f>
        <v>0</v>
      </c>
      <c r="AX76" s="168" t="s">
        <v>115</v>
      </c>
      <c r="AY76" s="169" t="s">
        <v>114</v>
      </c>
      <c r="AZ76" s="167">
        <f>IF(AND($E$4=$G$189,$AB$30=$F$188),$AB$20,0)</f>
        <v>0</v>
      </c>
    </row>
    <row r="77" spans="1:52" ht="30" customHeight="1" x14ac:dyDescent="0.25">
      <c r="A77" s="371"/>
      <c r="B77" s="355" t="s">
        <v>815</v>
      </c>
      <c r="C77" s="347" t="s">
        <v>783</v>
      </c>
      <c r="D77" s="348"/>
      <c r="E77" s="406" t="s">
        <v>784</v>
      </c>
      <c r="F77" s="406"/>
      <c r="G77" s="406"/>
      <c r="H77" s="406"/>
      <c r="I77" s="406"/>
      <c r="J77" s="305">
        <v>0</v>
      </c>
      <c r="K77" s="403"/>
      <c r="L77" s="332"/>
      <c r="M77" s="332"/>
      <c r="N77" s="332"/>
      <c r="O77" s="332"/>
      <c r="P77" s="332"/>
      <c r="Q77" s="332"/>
      <c r="R77" s="332"/>
      <c r="S77" s="332"/>
      <c r="T77" s="332"/>
      <c r="U77" s="332"/>
      <c r="V77" s="332"/>
      <c r="W77" s="332"/>
      <c r="X77" s="332"/>
      <c r="Y77" s="332"/>
      <c r="Z77" s="332"/>
      <c r="AA77" s="332"/>
      <c r="AB77" s="332"/>
      <c r="AI77" s="154" t="s">
        <v>117</v>
      </c>
      <c r="AJ77" s="155" t="s">
        <v>116</v>
      </c>
      <c r="AK77" s="2">
        <f>IF(AND($E$4=$G$189,$H$30=$F$189),$H$20,0)</f>
        <v>0</v>
      </c>
      <c r="AL77" s="154" t="s">
        <v>117</v>
      </c>
      <c r="AM77" s="155" t="s">
        <v>116</v>
      </c>
      <c r="AN77" s="2">
        <f>IF(AND($E$4=$G$189,$L$30=$F$189),$L$20,0)</f>
        <v>0</v>
      </c>
      <c r="AO77" s="154" t="s">
        <v>117</v>
      </c>
      <c r="AP77" s="155" t="s">
        <v>116</v>
      </c>
      <c r="AQ77" s="2">
        <f>IF(AND($E$4=$G$189,$P$30=$F$189),$P$20,0)</f>
        <v>0</v>
      </c>
      <c r="AR77" s="154" t="s">
        <v>117</v>
      </c>
      <c r="AS77" s="155" t="s">
        <v>116</v>
      </c>
      <c r="AT77" s="2">
        <f>IF(AND($E$4=$G$189,$T$30=$F$189),$T$20,0)</f>
        <v>0</v>
      </c>
      <c r="AU77" s="154" t="s">
        <v>117</v>
      </c>
      <c r="AV77" s="155" t="s">
        <v>116</v>
      </c>
      <c r="AW77" s="2">
        <f>IF(AND($E$4=$G$189,$X$30=$F$189),$X$20,0)</f>
        <v>0</v>
      </c>
      <c r="AX77" s="154" t="s">
        <v>117</v>
      </c>
      <c r="AY77" s="155" t="s">
        <v>116</v>
      </c>
      <c r="AZ77" s="2">
        <f>IF(AND($E$4=$G$189,$AB$30=$F$189),$AB$20,0)</f>
        <v>0</v>
      </c>
    </row>
    <row r="78" spans="1:52" s="167" customFormat="1" ht="39.950000000000003" customHeight="1" x14ac:dyDescent="0.25">
      <c r="A78" s="371"/>
      <c r="B78" s="355"/>
      <c r="C78" s="349"/>
      <c r="D78" s="350"/>
      <c r="E78" s="407" t="s">
        <v>311</v>
      </c>
      <c r="F78" s="407"/>
      <c r="G78" s="407"/>
      <c r="H78" s="407"/>
      <c r="I78" s="407"/>
      <c r="J78" s="305">
        <v>0</v>
      </c>
      <c r="K78" s="403"/>
      <c r="L78" s="332"/>
      <c r="M78" s="332"/>
      <c r="N78" s="332"/>
      <c r="O78" s="332"/>
      <c r="P78" s="332"/>
      <c r="Q78" s="332"/>
      <c r="R78" s="332"/>
      <c r="S78" s="332"/>
      <c r="T78" s="332"/>
      <c r="U78" s="332"/>
      <c r="V78" s="332"/>
      <c r="W78" s="332"/>
      <c r="X78" s="332"/>
      <c r="Y78" s="332"/>
      <c r="Z78" s="332"/>
      <c r="AA78" s="332"/>
      <c r="AB78" s="332"/>
      <c r="AI78" s="168" t="s">
        <v>119</v>
      </c>
      <c r="AJ78" s="169" t="s">
        <v>118</v>
      </c>
      <c r="AK78" s="167">
        <f>IF(AND($E$4=$G$189,$H$30=$F$190),$H$20,0)</f>
        <v>0</v>
      </c>
      <c r="AL78" s="168" t="s">
        <v>119</v>
      </c>
      <c r="AM78" s="169" t="s">
        <v>118</v>
      </c>
      <c r="AN78" s="167">
        <f>IF(AND($E$4=$G$189,$L$30=$F$190),$L$20,0)</f>
        <v>0</v>
      </c>
      <c r="AO78" s="168" t="s">
        <v>119</v>
      </c>
      <c r="AP78" s="169" t="s">
        <v>118</v>
      </c>
      <c r="AQ78" s="167">
        <f>IF(AND($E$4=$G$189,$P$30=$F$190),$P$20,0)</f>
        <v>0</v>
      </c>
      <c r="AR78" s="168" t="s">
        <v>119</v>
      </c>
      <c r="AS78" s="169" t="s">
        <v>118</v>
      </c>
      <c r="AT78" s="167">
        <f>IF(AND($E$4=$G$189,$T$30=$F$190),$T$20,0)</f>
        <v>0</v>
      </c>
      <c r="AU78" s="168" t="s">
        <v>119</v>
      </c>
      <c r="AV78" s="169" t="s">
        <v>118</v>
      </c>
      <c r="AW78" s="167">
        <f>IF(AND($E$4=$G$189,$X$30=$F$190),$X$20,0)</f>
        <v>0</v>
      </c>
      <c r="AX78" s="168" t="s">
        <v>119</v>
      </c>
      <c r="AY78" s="169" t="s">
        <v>118</v>
      </c>
      <c r="AZ78" s="167">
        <f>IF(AND($E$4=$G$189,$AB$30=$F$190),$AB$20,0)</f>
        <v>0</v>
      </c>
    </row>
    <row r="79" spans="1:52" ht="30" customHeight="1" x14ac:dyDescent="0.25">
      <c r="A79" s="371"/>
      <c r="B79" s="355" t="s">
        <v>958</v>
      </c>
      <c r="C79" s="347" t="s">
        <v>785</v>
      </c>
      <c r="D79" s="348"/>
      <c r="E79" s="362" t="s">
        <v>784</v>
      </c>
      <c r="F79" s="363"/>
      <c r="G79" s="363"/>
      <c r="H79" s="363"/>
      <c r="I79" s="364"/>
      <c r="J79" s="305">
        <v>0</v>
      </c>
      <c r="K79" s="403"/>
      <c r="L79" s="332"/>
      <c r="M79" s="332"/>
      <c r="N79" s="332"/>
      <c r="O79" s="332"/>
      <c r="P79" s="332"/>
      <c r="Q79" s="332"/>
      <c r="R79" s="332"/>
      <c r="S79" s="332"/>
      <c r="T79" s="332"/>
      <c r="U79" s="332"/>
      <c r="V79" s="332"/>
      <c r="W79" s="332"/>
      <c r="X79" s="332"/>
      <c r="Y79" s="332"/>
      <c r="Z79" s="332"/>
      <c r="AA79" s="332"/>
      <c r="AB79" s="332"/>
      <c r="AI79" s="154" t="s">
        <v>121</v>
      </c>
      <c r="AJ79" s="155" t="s">
        <v>120</v>
      </c>
      <c r="AK79" s="2">
        <f>$H$37*$H$20</f>
        <v>0</v>
      </c>
      <c r="AL79" s="154" t="s">
        <v>121</v>
      </c>
      <c r="AM79" s="155" t="s">
        <v>120</v>
      </c>
      <c r="AN79" s="2">
        <f>$L$37*$L$20</f>
        <v>0</v>
      </c>
      <c r="AO79" s="154" t="s">
        <v>121</v>
      </c>
      <c r="AP79" s="155" t="s">
        <v>120</v>
      </c>
      <c r="AQ79" s="2">
        <f>$P$37*$P$20</f>
        <v>0</v>
      </c>
      <c r="AR79" s="154" t="s">
        <v>121</v>
      </c>
      <c r="AS79" s="155" t="s">
        <v>120</v>
      </c>
      <c r="AT79" s="2">
        <f>$T$37*$T$20</f>
        <v>0</v>
      </c>
      <c r="AU79" s="154" t="s">
        <v>121</v>
      </c>
      <c r="AV79" s="155" t="s">
        <v>120</v>
      </c>
      <c r="AW79" s="2">
        <f>$X$37*$X$20</f>
        <v>0</v>
      </c>
      <c r="AX79" s="154" t="s">
        <v>121</v>
      </c>
      <c r="AY79" s="155" t="s">
        <v>120</v>
      </c>
      <c r="AZ79" s="2">
        <f>$AB$37*$AB$20</f>
        <v>0</v>
      </c>
    </row>
    <row r="80" spans="1:52" s="167" customFormat="1" ht="39.950000000000003" customHeight="1" x14ac:dyDescent="0.25">
      <c r="A80" s="371"/>
      <c r="B80" s="355"/>
      <c r="C80" s="349"/>
      <c r="D80" s="350"/>
      <c r="E80" s="359" t="s">
        <v>609</v>
      </c>
      <c r="F80" s="360"/>
      <c r="G80" s="360"/>
      <c r="H80" s="360"/>
      <c r="I80" s="361"/>
      <c r="J80" s="305">
        <v>0</v>
      </c>
      <c r="K80" s="403"/>
      <c r="L80" s="332"/>
      <c r="M80" s="332"/>
      <c r="N80" s="332"/>
      <c r="O80" s="332"/>
      <c r="P80" s="332"/>
      <c r="Q80" s="332"/>
      <c r="R80" s="332"/>
      <c r="S80" s="332"/>
      <c r="T80" s="332"/>
      <c r="U80" s="332"/>
      <c r="V80" s="332"/>
      <c r="W80" s="332"/>
      <c r="X80" s="332"/>
      <c r="Y80" s="332"/>
      <c r="Z80" s="332"/>
      <c r="AA80" s="332"/>
      <c r="AB80" s="332"/>
      <c r="AI80" s="168" t="s">
        <v>124</v>
      </c>
      <c r="AJ80" s="169" t="s">
        <v>123</v>
      </c>
      <c r="AK80" s="167">
        <f>$H$38*$H$20</f>
        <v>0</v>
      </c>
      <c r="AL80" s="168" t="s">
        <v>124</v>
      </c>
      <c r="AM80" s="169" t="s">
        <v>123</v>
      </c>
      <c r="AN80" s="167">
        <f>$L$38*$L$20</f>
        <v>0</v>
      </c>
      <c r="AO80" s="168" t="s">
        <v>124</v>
      </c>
      <c r="AP80" s="169" t="s">
        <v>123</v>
      </c>
      <c r="AQ80" s="167">
        <f>$P$38*$P$20</f>
        <v>0</v>
      </c>
      <c r="AR80" s="168" t="s">
        <v>124</v>
      </c>
      <c r="AS80" s="169" t="s">
        <v>123</v>
      </c>
      <c r="AT80" s="167">
        <f>$T$38*$T$20</f>
        <v>0</v>
      </c>
      <c r="AU80" s="168" t="s">
        <v>124</v>
      </c>
      <c r="AV80" s="169" t="s">
        <v>123</v>
      </c>
      <c r="AW80" s="167">
        <f>$X$38*$X$20</f>
        <v>0</v>
      </c>
      <c r="AX80" s="168" t="s">
        <v>124</v>
      </c>
      <c r="AY80" s="169" t="s">
        <v>123</v>
      </c>
      <c r="AZ80" s="167">
        <f>$AB$38*$AB$20</f>
        <v>0</v>
      </c>
    </row>
    <row r="81" spans="1:52" ht="30" customHeight="1" x14ac:dyDescent="0.25">
      <c r="A81" s="371"/>
      <c r="B81" s="355" t="s">
        <v>816</v>
      </c>
      <c r="C81" s="347" t="s">
        <v>786</v>
      </c>
      <c r="D81" s="348"/>
      <c r="E81" s="362" t="s">
        <v>784</v>
      </c>
      <c r="F81" s="363"/>
      <c r="G81" s="363"/>
      <c r="H81" s="363"/>
      <c r="I81" s="364"/>
      <c r="J81" s="305">
        <v>0</v>
      </c>
      <c r="K81" s="403"/>
      <c r="L81" s="332"/>
      <c r="M81" s="332"/>
      <c r="N81" s="332"/>
      <c r="O81" s="332"/>
      <c r="P81" s="332"/>
      <c r="Q81" s="332"/>
      <c r="R81" s="332"/>
      <c r="S81" s="332"/>
      <c r="T81" s="332"/>
      <c r="U81" s="332"/>
      <c r="V81" s="332"/>
      <c r="W81" s="332"/>
      <c r="X81" s="332"/>
      <c r="Y81" s="332"/>
      <c r="Z81" s="332"/>
      <c r="AA81" s="332"/>
      <c r="AB81" s="332"/>
      <c r="AI81" s="154" t="s">
        <v>126</v>
      </c>
      <c r="AJ81" s="155" t="s">
        <v>125</v>
      </c>
      <c r="AK81" s="2">
        <f>$H$39*$H$20</f>
        <v>0</v>
      </c>
      <c r="AL81" s="154" t="s">
        <v>126</v>
      </c>
      <c r="AM81" s="155" t="s">
        <v>125</v>
      </c>
      <c r="AN81" s="2">
        <f>$L$39*$L$20</f>
        <v>0</v>
      </c>
      <c r="AO81" s="154" t="s">
        <v>126</v>
      </c>
      <c r="AP81" s="155" t="s">
        <v>125</v>
      </c>
      <c r="AQ81" s="2">
        <f>$P$39*$P$20</f>
        <v>0</v>
      </c>
      <c r="AR81" s="154" t="s">
        <v>126</v>
      </c>
      <c r="AS81" s="155" t="s">
        <v>125</v>
      </c>
      <c r="AT81" s="2">
        <f>$T$39*$T$20</f>
        <v>0</v>
      </c>
      <c r="AU81" s="154" t="s">
        <v>126</v>
      </c>
      <c r="AV81" s="155" t="s">
        <v>125</v>
      </c>
      <c r="AW81" s="2">
        <f>$X$39*$X$20</f>
        <v>0</v>
      </c>
      <c r="AX81" s="154" t="s">
        <v>126</v>
      </c>
      <c r="AY81" s="155" t="s">
        <v>125</v>
      </c>
      <c r="AZ81" s="2">
        <f>$AB$39*$AB$20</f>
        <v>0</v>
      </c>
    </row>
    <row r="82" spans="1:52" s="167" customFormat="1" ht="39.950000000000003" customHeight="1" x14ac:dyDescent="0.25">
      <c r="A82" s="371"/>
      <c r="B82" s="355"/>
      <c r="C82" s="349"/>
      <c r="D82" s="350"/>
      <c r="E82" s="359" t="s">
        <v>627</v>
      </c>
      <c r="F82" s="360"/>
      <c r="G82" s="360"/>
      <c r="H82" s="360"/>
      <c r="I82" s="361"/>
      <c r="J82" s="305">
        <v>0</v>
      </c>
      <c r="K82" s="403"/>
      <c r="L82" s="332"/>
      <c r="M82" s="332"/>
      <c r="N82" s="332"/>
      <c r="O82" s="332"/>
      <c r="P82" s="332"/>
      <c r="Q82" s="332"/>
      <c r="R82" s="332"/>
      <c r="S82" s="332"/>
      <c r="T82" s="332"/>
      <c r="U82" s="332"/>
      <c r="V82" s="332"/>
      <c r="W82" s="332"/>
      <c r="X82" s="332"/>
      <c r="Y82" s="332"/>
      <c r="Z82" s="332"/>
      <c r="AA82" s="332"/>
      <c r="AB82" s="332"/>
      <c r="AI82" s="170" t="s">
        <v>128</v>
      </c>
      <c r="AJ82" s="171" t="s">
        <v>127</v>
      </c>
      <c r="AK82" s="172">
        <f>$H$20</f>
        <v>0</v>
      </c>
      <c r="AL82" s="170" t="s">
        <v>128</v>
      </c>
      <c r="AM82" s="171" t="s">
        <v>127</v>
      </c>
      <c r="AN82" s="172">
        <f>$L$20</f>
        <v>0</v>
      </c>
      <c r="AO82" s="170" t="s">
        <v>128</v>
      </c>
      <c r="AP82" s="171" t="s">
        <v>127</v>
      </c>
      <c r="AQ82" s="172">
        <f>$P$20</f>
        <v>0</v>
      </c>
      <c r="AR82" s="170" t="s">
        <v>128</v>
      </c>
      <c r="AS82" s="171" t="s">
        <v>127</v>
      </c>
      <c r="AT82" s="172">
        <f>$T$20</f>
        <v>0</v>
      </c>
      <c r="AU82" s="170" t="s">
        <v>128</v>
      </c>
      <c r="AV82" s="171" t="s">
        <v>127</v>
      </c>
      <c r="AW82" s="172">
        <f>$X$20</f>
        <v>0</v>
      </c>
      <c r="AX82" s="170" t="s">
        <v>128</v>
      </c>
      <c r="AY82" s="171" t="s">
        <v>127</v>
      </c>
      <c r="AZ82" s="172">
        <f>$AB$20</f>
        <v>0</v>
      </c>
    </row>
    <row r="83" spans="1:52" ht="30" customHeight="1" x14ac:dyDescent="0.25">
      <c r="A83" s="371"/>
      <c r="B83" s="355" t="s">
        <v>817</v>
      </c>
      <c r="C83" s="347" t="s">
        <v>787</v>
      </c>
      <c r="D83" s="348"/>
      <c r="E83" s="362" t="s">
        <v>784</v>
      </c>
      <c r="F83" s="363"/>
      <c r="G83" s="363"/>
      <c r="H83" s="363"/>
      <c r="I83" s="364"/>
      <c r="J83" s="305">
        <v>0</v>
      </c>
      <c r="K83" s="403"/>
      <c r="L83" s="332"/>
      <c r="M83" s="332"/>
      <c r="N83" s="332"/>
      <c r="O83" s="332"/>
      <c r="P83" s="332"/>
      <c r="Q83" s="332"/>
      <c r="R83" s="332"/>
      <c r="S83" s="332"/>
      <c r="T83" s="332"/>
      <c r="U83" s="332"/>
      <c r="V83" s="332"/>
      <c r="W83" s="332"/>
      <c r="X83" s="332"/>
      <c r="Y83" s="332"/>
      <c r="Z83" s="332"/>
      <c r="AA83" s="332"/>
      <c r="AB83" s="332"/>
      <c r="AI83" s="154" t="s">
        <v>130</v>
      </c>
      <c r="AJ83" s="155" t="s">
        <v>129</v>
      </c>
      <c r="AK83" s="2">
        <f>IF(AND($E$4=$G$187,$H$30=$F$188),$H$50*$H$20,0)</f>
        <v>0</v>
      </c>
      <c r="AL83" s="154" t="s">
        <v>130</v>
      </c>
      <c r="AM83" s="155" t="s">
        <v>129</v>
      </c>
      <c r="AN83" s="2">
        <f>IF(AND($E$4=$G$187,$L$30=$F$188),$L$50*$L$20,0)</f>
        <v>0</v>
      </c>
      <c r="AO83" s="154" t="s">
        <v>130</v>
      </c>
      <c r="AP83" s="155" t="s">
        <v>129</v>
      </c>
      <c r="AQ83" s="2">
        <f>IF(AND($E$4=$G$187,$P$30=$F$188),$P$50*$P$20,0)</f>
        <v>0</v>
      </c>
      <c r="AR83" s="154" t="s">
        <v>130</v>
      </c>
      <c r="AS83" s="155" t="s">
        <v>129</v>
      </c>
      <c r="AT83" s="2">
        <f>IF(AND($E$4=$G$187,$T$30=$F$188),$T$50*$T$20,0)</f>
        <v>0</v>
      </c>
      <c r="AU83" s="154" t="s">
        <v>130</v>
      </c>
      <c r="AV83" s="155" t="s">
        <v>129</v>
      </c>
      <c r="AW83" s="2">
        <f>IF(AND($E$4=$G$187,$X$30=$F$188),$X$50*$X$20,0)</f>
        <v>0</v>
      </c>
      <c r="AX83" s="154" t="s">
        <v>130</v>
      </c>
      <c r="AY83" s="155" t="s">
        <v>129</v>
      </c>
      <c r="AZ83" s="2">
        <f>IF(AND($E$4=$G$187,$AB$30=$F$188),$AB$50*$AB$20,0)</f>
        <v>0</v>
      </c>
    </row>
    <row r="84" spans="1:52" s="167" customFormat="1" ht="39.950000000000003" customHeight="1" x14ac:dyDescent="0.25">
      <c r="A84" s="371"/>
      <c r="B84" s="355"/>
      <c r="C84" s="349"/>
      <c r="D84" s="350"/>
      <c r="E84" s="359" t="s">
        <v>650</v>
      </c>
      <c r="F84" s="360"/>
      <c r="G84" s="360"/>
      <c r="H84" s="360"/>
      <c r="I84" s="361"/>
      <c r="J84" s="305">
        <v>0</v>
      </c>
      <c r="K84" s="403"/>
      <c r="L84" s="332"/>
      <c r="M84" s="332"/>
      <c r="N84" s="332"/>
      <c r="O84" s="332"/>
      <c r="P84" s="332"/>
      <c r="Q84" s="332"/>
      <c r="R84" s="332"/>
      <c r="S84" s="332"/>
      <c r="T84" s="332"/>
      <c r="U84" s="332"/>
      <c r="V84" s="332"/>
      <c r="W84" s="332"/>
      <c r="X84" s="332"/>
      <c r="Y84" s="332"/>
      <c r="Z84" s="332"/>
      <c r="AA84" s="332"/>
      <c r="AB84" s="332"/>
      <c r="AI84" s="168" t="s">
        <v>133</v>
      </c>
      <c r="AJ84" s="169" t="s">
        <v>132</v>
      </c>
      <c r="AK84" s="167">
        <f>IF(AND($E$4=$G$187,$H$30=$F$189),$H$50*$H$20,0)</f>
        <v>0</v>
      </c>
      <c r="AL84" s="168" t="s">
        <v>133</v>
      </c>
      <c r="AM84" s="169" t="s">
        <v>132</v>
      </c>
      <c r="AN84" s="167">
        <f>IF(AND($E$4=$G$187,$L$30=$F$189),$L$50*$L$20,0)</f>
        <v>0</v>
      </c>
      <c r="AO84" s="168" t="s">
        <v>133</v>
      </c>
      <c r="AP84" s="169" t="s">
        <v>132</v>
      </c>
      <c r="AQ84" s="167">
        <f>IF(AND($E$4=$G$187,$P$30=$F$189),$P$50*$P$20,0)</f>
        <v>0</v>
      </c>
      <c r="AR84" s="168" t="s">
        <v>133</v>
      </c>
      <c r="AS84" s="169" t="s">
        <v>132</v>
      </c>
      <c r="AT84" s="167">
        <f>IF(AND($E$4=$G$187,$T$30=$F$189),$T$50*$T$20,0)</f>
        <v>0</v>
      </c>
      <c r="AU84" s="168" t="s">
        <v>133</v>
      </c>
      <c r="AV84" s="169" t="s">
        <v>132</v>
      </c>
      <c r="AW84" s="167">
        <f>IF(AND($E$4=$G$187,$X$30=$F$189),$X$50*$X$20,0)</f>
        <v>0</v>
      </c>
      <c r="AX84" s="168" t="s">
        <v>133</v>
      </c>
      <c r="AY84" s="169" t="s">
        <v>132</v>
      </c>
      <c r="AZ84" s="167">
        <f>IF(AND($E$4=$G$187,$AB$30=$F$189),$AB$50*$AB$20,0)</f>
        <v>0</v>
      </c>
    </row>
    <row r="85" spans="1:52" s="167" customFormat="1" ht="39.950000000000003" customHeight="1" x14ac:dyDescent="0.25">
      <c r="A85" s="371"/>
      <c r="B85" s="259" t="s">
        <v>818</v>
      </c>
      <c r="C85" s="410" t="s">
        <v>788</v>
      </c>
      <c r="D85" s="411"/>
      <c r="E85" s="359" t="s">
        <v>666</v>
      </c>
      <c r="F85" s="360"/>
      <c r="G85" s="360"/>
      <c r="H85" s="360"/>
      <c r="I85" s="361"/>
      <c r="J85" s="214">
        <v>0</v>
      </c>
      <c r="K85" s="403"/>
      <c r="L85" s="332"/>
      <c r="M85" s="332"/>
      <c r="N85" s="332"/>
      <c r="O85" s="332"/>
      <c r="P85" s="332"/>
      <c r="Q85" s="332"/>
      <c r="R85" s="332"/>
      <c r="S85" s="332"/>
      <c r="T85" s="332"/>
      <c r="U85" s="332"/>
      <c r="V85" s="332"/>
      <c r="W85" s="332"/>
      <c r="X85" s="332"/>
      <c r="Y85" s="332"/>
      <c r="Z85" s="332"/>
      <c r="AA85" s="332"/>
      <c r="AB85" s="332"/>
      <c r="AI85" s="168" t="s">
        <v>135</v>
      </c>
      <c r="AJ85" s="169" t="s">
        <v>134</v>
      </c>
      <c r="AK85" s="167">
        <f>IF(AND($E$4=$G$187,$H$30=$F$190),$H$50*$H$20,0)</f>
        <v>0</v>
      </c>
      <c r="AL85" s="168" t="s">
        <v>135</v>
      </c>
      <c r="AM85" s="169" t="s">
        <v>134</v>
      </c>
      <c r="AN85" s="167">
        <f>IF(AND($E$4=$G$187,$L$30=$F$190),$L$50*$L$20,0)</f>
        <v>0</v>
      </c>
      <c r="AO85" s="168" t="s">
        <v>135</v>
      </c>
      <c r="AP85" s="169" t="s">
        <v>134</v>
      </c>
      <c r="AQ85" s="167">
        <f>IF(AND($E$4=$G$187,$P$30=$F$190),$P$50*$P$20,0)</f>
        <v>0</v>
      </c>
      <c r="AR85" s="168" t="s">
        <v>135</v>
      </c>
      <c r="AS85" s="169" t="s">
        <v>134</v>
      </c>
      <c r="AT85" s="167">
        <f>IF(AND($E$4=$G$187,$T$30=$F$190),$T$50*$T$20,0)</f>
        <v>0</v>
      </c>
      <c r="AU85" s="168" t="s">
        <v>135</v>
      </c>
      <c r="AV85" s="169" t="s">
        <v>134</v>
      </c>
      <c r="AW85" s="167">
        <f>IF(AND($E$4=$G$187,$X$30=$F$190),$X$50*$X$20,0)</f>
        <v>0</v>
      </c>
      <c r="AX85" s="168" t="s">
        <v>135</v>
      </c>
      <c r="AY85" s="169" t="s">
        <v>134</v>
      </c>
      <c r="AZ85" s="167">
        <f>IF(AND($E$4=$G$187,$AB$30=$F$190),$AB$50*$AB$20,0)</f>
        <v>0</v>
      </c>
    </row>
    <row r="86" spans="1:52" ht="30" customHeight="1" x14ac:dyDescent="0.25">
      <c r="A86" s="371"/>
      <c r="B86" s="355" t="s">
        <v>819</v>
      </c>
      <c r="C86" s="347" t="s">
        <v>789</v>
      </c>
      <c r="D86" s="348"/>
      <c r="E86" s="362" t="s">
        <v>784</v>
      </c>
      <c r="F86" s="363"/>
      <c r="G86" s="363"/>
      <c r="H86" s="363"/>
      <c r="I86" s="364"/>
      <c r="J86" s="305">
        <v>0</v>
      </c>
      <c r="K86" s="403"/>
      <c r="L86" s="332"/>
      <c r="M86" s="332"/>
      <c r="N86" s="332"/>
      <c r="O86" s="332"/>
      <c r="P86" s="332"/>
      <c r="Q86" s="332"/>
      <c r="R86" s="332"/>
      <c r="S86" s="332"/>
      <c r="T86" s="332"/>
      <c r="U86" s="332"/>
      <c r="V86" s="332"/>
      <c r="W86" s="332"/>
      <c r="X86" s="332"/>
      <c r="Y86" s="332"/>
      <c r="Z86" s="332"/>
      <c r="AA86" s="332"/>
      <c r="AB86" s="332"/>
      <c r="AI86" s="154" t="s">
        <v>137</v>
      </c>
      <c r="AJ86" s="155" t="s">
        <v>136</v>
      </c>
      <c r="AK86" s="2">
        <f>IF(AND($E$4=$G$188,$H$30=$F$188),$H$50*$H$20,0)</f>
        <v>0</v>
      </c>
      <c r="AL86" s="154" t="s">
        <v>137</v>
      </c>
      <c r="AM86" s="155" t="s">
        <v>136</v>
      </c>
      <c r="AN86" s="2">
        <f>IF(AND($E$4=$G$188,$L$30=$F$188),$L$50*$L$20,0)</f>
        <v>0</v>
      </c>
      <c r="AO86" s="154" t="s">
        <v>137</v>
      </c>
      <c r="AP86" s="155" t="s">
        <v>136</v>
      </c>
      <c r="AQ86" s="2">
        <f>IF(AND($E$4=$G$188,$P$30=$F$188),$P$50*$P$20,0)</f>
        <v>0</v>
      </c>
      <c r="AR86" s="154" t="s">
        <v>137</v>
      </c>
      <c r="AS86" s="155" t="s">
        <v>136</v>
      </c>
      <c r="AT86" s="2">
        <f>IF(AND($E$4=$G$188,$T$30=$F$188),$T$50*$T$20,0)</f>
        <v>0</v>
      </c>
      <c r="AU86" s="154" t="s">
        <v>137</v>
      </c>
      <c r="AV86" s="155" t="s">
        <v>136</v>
      </c>
      <c r="AW86" s="2">
        <f>IF(AND($E$4=$G$188,$X$30=$F$188),$X$50*$X$20,0)</f>
        <v>0</v>
      </c>
      <c r="AX86" s="154" t="s">
        <v>137</v>
      </c>
      <c r="AY86" s="155" t="s">
        <v>136</v>
      </c>
      <c r="AZ86" s="2">
        <f>IF(AND($E$4=$G$188,$AB$30=$F$188),$AB$50*$AB$20,0)</f>
        <v>0</v>
      </c>
    </row>
    <row r="87" spans="1:52" s="167" customFormat="1" ht="39.950000000000003" customHeight="1" x14ac:dyDescent="0.25">
      <c r="A87" s="371"/>
      <c r="B87" s="355"/>
      <c r="C87" s="349"/>
      <c r="D87" s="350"/>
      <c r="E87" s="359" t="s">
        <v>675</v>
      </c>
      <c r="F87" s="360"/>
      <c r="G87" s="360"/>
      <c r="H87" s="360"/>
      <c r="I87" s="361"/>
      <c r="J87" s="305">
        <v>0</v>
      </c>
      <c r="K87" s="403"/>
      <c r="L87" s="332"/>
      <c r="M87" s="332"/>
      <c r="N87" s="332"/>
      <c r="O87" s="332"/>
      <c r="P87" s="332"/>
      <c r="Q87" s="332"/>
      <c r="R87" s="332"/>
      <c r="S87" s="332"/>
      <c r="T87" s="332"/>
      <c r="U87" s="332"/>
      <c r="V87" s="332"/>
      <c r="W87" s="332"/>
      <c r="X87" s="332"/>
      <c r="Y87" s="332"/>
      <c r="Z87" s="332"/>
      <c r="AA87" s="332"/>
      <c r="AB87" s="332"/>
      <c r="AI87" s="168" t="s">
        <v>139</v>
      </c>
      <c r="AJ87" s="169" t="s">
        <v>138</v>
      </c>
      <c r="AK87" s="167">
        <f>IF(AND($E$4=$G$188,$H$30=$F$189),$H$50*$H$20,0)</f>
        <v>0</v>
      </c>
      <c r="AL87" s="168" t="s">
        <v>139</v>
      </c>
      <c r="AM87" s="169" t="s">
        <v>138</v>
      </c>
      <c r="AN87" s="167">
        <f>IF(AND($E$4=$G$188,$L$30=$F$189),$L$50*$L$20,0)</f>
        <v>0</v>
      </c>
      <c r="AO87" s="168" t="s">
        <v>139</v>
      </c>
      <c r="AP87" s="169" t="s">
        <v>138</v>
      </c>
      <c r="AQ87" s="167">
        <f>IF(AND($E$4=$G$188,$P$30=$F$189),$P$50*$P$20,0)</f>
        <v>0</v>
      </c>
      <c r="AR87" s="168" t="s">
        <v>139</v>
      </c>
      <c r="AS87" s="169" t="s">
        <v>138</v>
      </c>
      <c r="AT87" s="167">
        <f>IF(AND($E$4=$G$188,$T$30=$F$189),$T$50*$T$20,0)</f>
        <v>0</v>
      </c>
      <c r="AU87" s="168" t="s">
        <v>139</v>
      </c>
      <c r="AV87" s="169" t="s">
        <v>138</v>
      </c>
      <c r="AW87" s="167">
        <f>IF(AND($E$4=$G$188,$X$30=$F$189),$X$50*$X$20,0)</f>
        <v>0</v>
      </c>
      <c r="AX87" s="168" t="s">
        <v>139</v>
      </c>
      <c r="AY87" s="169" t="s">
        <v>138</v>
      </c>
      <c r="AZ87" s="167">
        <f>IF(AND($E$4=$G$188,$AB$30=$F$189),$AB$50*$AB$20,0)</f>
        <v>0</v>
      </c>
    </row>
    <row r="88" spans="1:52" ht="30" customHeight="1" x14ac:dyDescent="0.25">
      <c r="A88" s="371"/>
      <c r="B88" s="357" t="s">
        <v>820</v>
      </c>
      <c r="C88" s="347" t="s">
        <v>790</v>
      </c>
      <c r="D88" s="348"/>
      <c r="E88" s="362" t="s">
        <v>784</v>
      </c>
      <c r="F88" s="363"/>
      <c r="G88" s="363"/>
      <c r="H88" s="363"/>
      <c r="I88" s="364"/>
      <c r="J88" s="305">
        <v>0</v>
      </c>
      <c r="K88" s="403"/>
      <c r="L88" s="332"/>
      <c r="M88" s="332"/>
      <c r="N88" s="332"/>
      <c r="O88" s="332"/>
      <c r="P88" s="332"/>
      <c r="Q88" s="332"/>
      <c r="R88" s="332"/>
      <c r="S88" s="332"/>
      <c r="T88" s="332"/>
      <c r="U88" s="332"/>
      <c r="V88" s="332"/>
      <c r="W88" s="332"/>
      <c r="X88" s="332"/>
      <c r="Y88" s="332"/>
      <c r="Z88" s="332"/>
      <c r="AA88" s="332"/>
      <c r="AB88" s="332"/>
      <c r="AI88" s="154" t="s">
        <v>141</v>
      </c>
      <c r="AJ88" s="155" t="s">
        <v>140</v>
      </c>
      <c r="AK88" s="2">
        <f>IF(AND($E$4=$G$188,$H$30=$F$190),$H$50*$H$20,0)</f>
        <v>0</v>
      </c>
      <c r="AL88" s="154" t="s">
        <v>141</v>
      </c>
      <c r="AM88" s="155" t="s">
        <v>140</v>
      </c>
      <c r="AN88" s="2">
        <f>IF(AND($E$4=$G$188,$L$30=$F$190),$L$50*$L$20,0)</f>
        <v>0</v>
      </c>
      <c r="AO88" s="154" t="s">
        <v>141</v>
      </c>
      <c r="AP88" s="155" t="s">
        <v>140</v>
      </c>
      <c r="AQ88" s="2">
        <f>IF(AND($E$4=$G$188,$P$30=$F$190),$P$50*$P$20,0)</f>
        <v>0</v>
      </c>
      <c r="AR88" s="154" t="s">
        <v>141</v>
      </c>
      <c r="AS88" s="155" t="s">
        <v>140</v>
      </c>
      <c r="AT88" s="2">
        <f>IF(AND($E$4=$G$188,$T$30=$F$190),$T$50*$T$20,0)</f>
        <v>0</v>
      </c>
      <c r="AU88" s="154" t="s">
        <v>141</v>
      </c>
      <c r="AV88" s="155" t="s">
        <v>140</v>
      </c>
      <c r="AW88" s="2">
        <f>IF(AND($E$4=$G$188,$X$30=$F$190),$X$50*$X$20,0)</f>
        <v>0</v>
      </c>
      <c r="AX88" s="154" t="s">
        <v>141</v>
      </c>
      <c r="AY88" s="155" t="s">
        <v>140</v>
      </c>
      <c r="AZ88" s="2">
        <f>IF(AND($E$4=$G$188,$AB$30=$F$190),$AB$50*$AB$20,0)</f>
        <v>0</v>
      </c>
    </row>
    <row r="89" spans="1:52" s="167" customFormat="1" ht="39.950000000000003" customHeight="1" x14ac:dyDescent="0.25">
      <c r="A89" s="371"/>
      <c r="B89" s="358"/>
      <c r="C89" s="349"/>
      <c r="D89" s="350"/>
      <c r="E89" s="359" t="s">
        <v>684</v>
      </c>
      <c r="F89" s="360"/>
      <c r="G89" s="360"/>
      <c r="H89" s="360"/>
      <c r="I89" s="361"/>
      <c r="J89" s="305">
        <v>0</v>
      </c>
      <c r="K89" s="403"/>
      <c r="L89" s="332"/>
      <c r="M89" s="332"/>
      <c r="N89" s="332"/>
      <c r="O89" s="332"/>
      <c r="P89" s="332"/>
      <c r="Q89" s="332"/>
      <c r="R89" s="332"/>
      <c r="S89" s="332"/>
      <c r="T89" s="332"/>
      <c r="U89" s="332"/>
      <c r="V89" s="332"/>
      <c r="W89" s="332"/>
      <c r="X89" s="332"/>
      <c r="Y89" s="332"/>
      <c r="Z89" s="332"/>
      <c r="AA89" s="332"/>
      <c r="AB89" s="332"/>
      <c r="AI89" s="168" t="s">
        <v>143</v>
      </c>
      <c r="AJ89" s="169" t="s">
        <v>142</v>
      </c>
      <c r="AK89" s="167">
        <f>IF(AND($E$4=$G$189,$H$30=$F$188),$H$50*$H$20,0)</f>
        <v>0</v>
      </c>
      <c r="AL89" s="168" t="s">
        <v>143</v>
      </c>
      <c r="AM89" s="169" t="s">
        <v>142</v>
      </c>
      <c r="AN89" s="167">
        <f>IF(AND($E$4=$G$189,$L$30=$F$188),$L$50*$L$20,0)</f>
        <v>0</v>
      </c>
      <c r="AO89" s="168" t="s">
        <v>143</v>
      </c>
      <c r="AP89" s="169" t="s">
        <v>142</v>
      </c>
      <c r="AQ89" s="167">
        <f>IF(AND($E$4=$G$189,$P$30=$F$188),$P$50*$P$20,0)</f>
        <v>0</v>
      </c>
      <c r="AR89" s="168" t="s">
        <v>143</v>
      </c>
      <c r="AS89" s="169" t="s">
        <v>142</v>
      </c>
      <c r="AT89" s="167">
        <f>IF(AND($E$4=$G$189,$T$30=$F$188),$T$50*$T$20,0)</f>
        <v>0</v>
      </c>
      <c r="AU89" s="168" t="s">
        <v>143</v>
      </c>
      <c r="AV89" s="169" t="s">
        <v>142</v>
      </c>
      <c r="AW89" s="167">
        <f>IF(AND($E$4=$G$189,$X$30=$F$188),$X$50*$X$20,0)</f>
        <v>0</v>
      </c>
      <c r="AX89" s="168" t="s">
        <v>143</v>
      </c>
      <c r="AY89" s="169" t="s">
        <v>142</v>
      </c>
      <c r="AZ89" s="167">
        <f>IF(AND($E$4=$G$189,$AB$30=$F$188),$AB$50*$AB$20,0)</f>
        <v>0</v>
      </c>
    </row>
    <row r="90" spans="1:52" ht="30" customHeight="1" x14ac:dyDescent="0.25">
      <c r="A90" s="371"/>
      <c r="B90" s="357" t="s">
        <v>821</v>
      </c>
      <c r="C90" s="347" t="s">
        <v>794</v>
      </c>
      <c r="D90" s="348"/>
      <c r="E90" s="362" t="s">
        <v>784</v>
      </c>
      <c r="F90" s="363"/>
      <c r="G90" s="363"/>
      <c r="H90" s="363"/>
      <c r="I90" s="364"/>
      <c r="J90" s="305">
        <v>0</v>
      </c>
      <c r="K90" s="403"/>
      <c r="L90" s="332"/>
      <c r="M90" s="332"/>
      <c r="N90" s="332"/>
      <c r="O90" s="332"/>
      <c r="P90" s="332"/>
      <c r="Q90" s="332"/>
      <c r="R90" s="332"/>
      <c r="S90" s="332"/>
      <c r="T90" s="332"/>
      <c r="U90" s="332"/>
      <c r="V90" s="332"/>
      <c r="W90" s="332"/>
      <c r="X90" s="332"/>
      <c r="Y90" s="332"/>
      <c r="Z90" s="332"/>
      <c r="AA90" s="332"/>
      <c r="AB90" s="332"/>
      <c r="AI90" s="154" t="s">
        <v>145</v>
      </c>
      <c r="AJ90" s="155" t="s">
        <v>144</v>
      </c>
      <c r="AK90" s="2">
        <f>IF(AND($E$4=$G$189,$H$30=$F$189),$H$50*$H$20,0)</f>
        <v>0</v>
      </c>
      <c r="AL90" s="154" t="s">
        <v>145</v>
      </c>
      <c r="AM90" s="155" t="s">
        <v>144</v>
      </c>
      <c r="AN90" s="2">
        <f>IF(AND($E$4=$G$189,$L$30=$F$189),$L$50*$L$20,0)</f>
        <v>0</v>
      </c>
      <c r="AO90" s="154" t="s">
        <v>145</v>
      </c>
      <c r="AP90" s="155" t="s">
        <v>144</v>
      </c>
      <c r="AQ90" s="2">
        <f>IF(AND($E$4=$G$189,$P$30=$F$189),$P$50*$P$20,0)</f>
        <v>0</v>
      </c>
      <c r="AR90" s="154" t="s">
        <v>145</v>
      </c>
      <c r="AS90" s="155" t="s">
        <v>144</v>
      </c>
      <c r="AT90" s="2">
        <f>IF(AND($E$4=$G$189,$T$30=$F$189),$T$50*$T$20,0)</f>
        <v>0</v>
      </c>
      <c r="AU90" s="154" t="s">
        <v>145</v>
      </c>
      <c r="AV90" s="155" t="s">
        <v>144</v>
      </c>
      <c r="AW90" s="2">
        <f>IF(AND($E$4=$G$189,$X$30=$F$189),$X$50*$X$20,0)</f>
        <v>0</v>
      </c>
      <c r="AX90" s="154" t="s">
        <v>145</v>
      </c>
      <c r="AY90" s="155" t="s">
        <v>144</v>
      </c>
      <c r="AZ90" s="2">
        <f>IF(AND($E$4=$G$189,$AB$30=$F$189),$AB$50*$AB$20,0)</f>
        <v>0</v>
      </c>
    </row>
    <row r="91" spans="1:52" s="167" customFormat="1" ht="39.950000000000003" customHeight="1" x14ac:dyDescent="0.25">
      <c r="A91" s="371"/>
      <c r="B91" s="358"/>
      <c r="C91" s="349"/>
      <c r="D91" s="350"/>
      <c r="E91" s="359" t="s">
        <v>894</v>
      </c>
      <c r="F91" s="360"/>
      <c r="G91" s="360"/>
      <c r="H91" s="360"/>
      <c r="I91" s="361"/>
      <c r="J91" s="305">
        <v>0</v>
      </c>
      <c r="K91" s="403"/>
      <c r="L91" s="332"/>
      <c r="M91" s="332"/>
      <c r="N91" s="332"/>
      <c r="O91" s="332"/>
      <c r="P91" s="332"/>
      <c r="Q91" s="332"/>
      <c r="R91" s="332"/>
      <c r="S91" s="332"/>
      <c r="T91" s="332"/>
      <c r="U91" s="332"/>
      <c r="V91" s="332"/>
      <c r="W91" s="332"/>
      <c r="X91" s="332"/>
      <c r="Y91" s="332"/>
      <c r="Z91" s="332"/>
      <c r="AA91" s="332"/>
      <c r="AB91" s="332"/>
      <c r="AI91" s="168" t="s">
        <v>147</v>
      </c>
      <c r="AJ91" s="169" t="s">
        <v>146</v>
      </c>
      <c r="AK91" s="167">
        <f>IF(AND($E$4=$G$189,$H$30=$F$190),$H$50*$H$20,0)</f>
        <v>0</v>
      </c>
      <c r="AL91" s="168" t="s">
        <v>147</v>
      </c>
      <c r="AM91" s="169" t="s">
        <v>146</v>
      </c>
      <c r="AN91" s="167">
        <f>IF(AND($E$4=$G$189,$L$30=$F$190),$L$50*$L$20,0)</f>
        <v>0</v>
      </c>
      <c r="AO91" s="168" t="s">
        <v>147</v>
      </c>
      <c r="AP91" s="169" t="s">
        <v>146</v>
      </c>
      <c r="AQ91" s="167">
        <f>IF(AND($E$4=$G$189,$P$30=$F$190),$P$50*$P$20,0)</f>
        <v>0</v>
      </c>
      <c r="AR91" s="168" t="s">
        <v>147</v>
      </c>
      <c r="AS91" s="169" t="s">
        <v>146</v>
      </c>
      <c r="AT91" s="167">
        <f>IF(AND($E$4=$G$189,$T$30=$F$190),$T$50*$T$20,0)</f>
        <v>0</v>
      </c>
      <c r="AU91" s="168" t="s">
        <v>147</v>
      </c>
      <c r="AV91" s="169" t="s">
        <v>146</v>
      </c>
      <c r="AW91" s="167">
        <f>IF(AND($E$4=$G$189,$X$30=$F$190),$X$50*$X$20,0)</f>
        <v>0</v>
      </c>
      <c r="AX91" s="168" t="s">
        <v>147</v>
      </c>
      <c r="AY91" s="169" t="s">
        <v>146</v>
      </c>
      <c r="AZ91" s="167">
        <f>IF(AND($E$4=$G$189,$AB$30=$F$190),$AB$50*$AB$20,0)</f>
        <v>0</v>
      </c>
    </row>
    <row r="92" spans="1:52" ht="30" customHeight="1" x14ac:dyDescent="0.25">
      <c r="A92" s="371"/>
      <c r="B92" s="355" t="s">
        <v>822</v>
      </c>
      <c r="C92" s="347" t="s">
        <v>791</v>
      </c>
      <c r="D92" s="348"/>
      <c r="E92" s="362" t="s">
        <v>784</v>
      </c>
      <c r="F92" s="363"/>
      <c r="G92" s="363"/>
      <c r="H92" s="363"/>
      <c r="I92" s="364"/>
      <c r="J92" s="305">
        <v>0</v>
      </c>
      <c r="K92" s="403"/>
      <c r="L92" s="332"/>
      <c r="M92" s="332"/>
      <c r="N92" s="332"/>
      <c r="O92" s="332"/>
      <c r="P92" s="332"/>
      <c r="Q92" s="332"/>
      <c r="R92" s="332"/>
      <c r="S92" s="332"/>
      <c r="T92" s="332"/>
      <c r="U92" s="332"/>
      <c r="V92" s="332"/>
      <c r="W92" s="332"/>
      <c r="X92" s="332"/>
      <c r="Y92" s="332"/>
      <c r="Z92" s="332"/>
      <c r="AA92" s="332"/>
      <c r="AB92" s="332"/>
      <c r="AI92" s="154" t="s">
        <v>149</v>
      </c>
      <c r="AJ92" s="155" t="s">
        <v>148</v>
      </c>
      <c r="AK92" s="2">
        <f>IF($H$30=$F$188,$H$52*$H$20,0)</f>
        <v>0</v>
      </c>
      <c r="AL92" s="154" t="s">
        <v>149</v>
      </c>
      <c r="AM92" s="155" t="s">
        <v>148</v>
      </c>
      <c r="AN92" s="2">
        <f>IF($L$30=$F$188,$L$52*$L$20,0)</f>
        <v>0</v>
      </c>
      <c r="AO92" s="154" t="s">
        <v>149</v>
      </c>
      <c r="AP92" s="155" t="s">
        <v>148</v>
      </c>
      <c r="AQ92" s="2">
        <f>IF($P$30=$F$188,$P$52*$P$20,0)</f>
        <v>0</v>
      </c>
      <c r="AR92" s="154" t="s">
        <v>149</v>
      </c>
      <c r="AS92" s="155" t="s">
        <v>148</v>
      </c>
      <c r="AT92" s="2">
        <f>IF($T$30=$F$188,$T$52*$T$20,0)</f>
        <v>0</v>
      </c>
      <c r="AU92" s="154" t="s">
        <v>149</v>
      </c>
      <c r="AV92" s="155" t="s">
        <v>148</v>
      </c>
      <c r="AW92" s="2">
        <f>IF($X$30=$F$188,$X$52*$X$20,0)</f>
        <v>0</v>
      </c>
      <c r="AX92" s="154" t="s">
        <v>149</v>
      </c>
      <c r="AY92" s="155" t="s">
        <v>148</v>
      </c>
      <c r="AZ92" s="2">
        <f>IF($AB$30=$F$188,$AB$52*$AB$20,0)</f>
        <v>0</v>
      </c>
    </row>
    <row r="93" spans="1:52" s="167" customFormat="1" ht="39.950000000000003" customHeight="1" x14ac:dyDescent="0.25">
      <c r="A93" s="371"/>
      <c r="B93" s="355"/>
      <c r="C93" s="349"/>
      <c r="D93" s="350"/>
      <c r="E93" s="359" t="s">
        <v>591</v>
      </c>
      <c r="F93" s="360"/>
      <c r="G93" s="360"/>
      <c r="H93" s="360"/>
      <c r="I93" s="361"/>
      <c r="J93" s="305">
        <v>0</v>
      </c>
      <c r="K93" s="403"/>
      <c r="L93" s="332"/>
      <c r="M93" s="332"/>
      <c r="N93" s="332"/>
      <c r="O93" s="332"/>
      <c r="P93" s="332"/>
      <c r="Q93" s="332"/>
      <c r="R93" s="332"/>
      <c r="S93" s="332"/>
      <c r="T93" s="332"/>
      <c r="U93" s="332"/>
      <c r="V93" s="332"/>
      <c r="W93" s="332"/>
      <c r="X93" s="332"/>
      <c r="Y93" s="332"/>
      <c r="Z93" s="332"/>
      <c r="AA93" s="332"/>
      <c r="AB93" s="332"/>
      <c r="AI93" s="168" t="s">
        <v>151</v>
      </c>
      <c r="AJ93" s="169" t="s">
        <v>150</v>
      </c>
      <c r="AK93" s="167">
        <f>IF($H$30=$F$189,$H$52*$H$20,0)</f>
        <v>0</v>
      </c>
      <c r="AL93" s="168" t="s">
        <v>151</v>
      </c>
      <c r="AM93" s="169" t="s">
        <v>150</v>
      </c>
      <c r="AN93" s="167">
        <f>IF($L$30=$F$189,$L$52*$L$20,0)</f>
        <v>0</v>
      </c>
      <c r="AO93" s="168" t="s">
        <v>151</v>
      </c>
      <c r="AP93" s="169" t="s">
        <v>150</v>
      </c>
      <c r="AQ93" s="167">
        <f>IF($P$30=$F$189,$P$52*$P$20,0)</f>
        <v>0</v>
      </c>
      <c r="AR93" s="168" t="s">
        <v>151</v>
      </c>
      <c r="AS93" s="169" t="s">
        <v>150</v>
      </c>
      <c r="AT93" s="167">
        <f>IF($T$30=$F$189,$T$52*$T$20,0)</f>
        <v>0</v>
      </c>
      <c r="AU93" s="168" t="s">
        <v>151</v>
      </c>
      <c r="AV93" s="169" t="s">
        <v>150</v>
      </c>
      <c r="AW93" s="167">
        <f>IF($X$30=$F$189,$X$52*$X$20,0)</f>
        <v>0</v>
      </c>
      <c r="AX93" s="168" t="s">
        <v>151</v>
      </c>
      <c r="AY93" s="169" t="s">
        <v>150</v>
      </c>
      <c r="AZ93" s="167">
        <f>IF($AB$30=$F$189,$AB$52*$AB$20,0)</f>
        <v>0</v>
      </c>
    </row>
    <row r="94" spans="1:52" ht="30" customHeight="1" x14ac:dyDescent="0.25">
      <c r="A94" s="371"/>
      <c r="B94" s="357" t="s">
        <v>823</v>
      </c>
      <c r="C94" s="347" t="s">
        <v>954</v>
      </c>
      <c r="D94" s="348"/>
      <c r="E94" s="362" t="s">
        <v>784</v>
      </c>
      <c r="F94" s="363"/>
      <c r="G94" s="363"/>
      <c r="H94" s="363"/>
      <c r="I94" s="364"/>
      <c r="J94" s="305">
        <v>0</v>
      </c>
      <c r="K94" s="403"/>
      <c r="L94" s="332"/>
      <c r="M94" s="332"/>
      <c r="N94" s="332"/>
      <c r="O94" s="332"/>
      <c r="P94" s="332"/>
      <c r="Q94" s="332"/>
      <c r="R94" s="332"/>
      <c r="S94" s="332"/>
      <c r="T94" s="332"/>
      <c r="U94" s="332"/>
      <c r="V94" s="332"/>
      <c r="W94" s="332"/>
      <c r="X94" s="332"/>
      <c r="Y94" s="332"/>
      <c r="Z94" s="332"/>
      <c r="AA94" s="332"/>
      <c r="AB94" s="332"/>
      <c r="AI94" s="154" t="s">
        <v>153</v>
      </c>
      <c r="AJ94" s="155" t="s">
        <v>152</v>
      </c>
      <c r="AK94" s="2">
        <f>IF($H$30=$F$190,$H$52*$H$20,0)</f>
        <v>0</v>
      </c>
      <c r="AL94" s="154" t="s">
        <v>153</v>
      </c>
      <c r="AM94" s="155" t="s">
        <v>152</v>
      </c>
      <c r="AN94" s="2">
        <f>IF($L$30=$F$190,$L$52*$L$20,0)</f>
        <v>0</v>
      </c>
      <c r="AO94" s="154" t="s">
        <v>153</v>
      </c>
      <c r="AP94" s="155" t="s">
        <v>152</v>
      </c>
      <c r="AQ94" s="2">
        <f>IF($P$30=$F$190,$P$52*$P$20,0)</f>
        <v>0</v>
      </c>
      <c r="AR94" s="154" t="s">
        <v>153</v>
      </c>
      <c r="AS94" s="155" t="s">
        <v>152</v>
      </c>
      <c r="AT94" s="2">
        <f>IF($T$30=$F$190,$T$52*$T$20,0)</f>
        <v>0</v>
      </c>
      <c r="AU94" s="154" t="s">
        <v>153</v>
      </c>
      <c r="AV94" s="155" t="s">
        <v>152</v>
      </c>
      <c r="AW94" s="2">
        <f>IF($X$30=$F$190,$X$52*$X$20,0)</f>
        <v>0</v>
      </c>
      <c r="AX94" s="154" t="s">
        <v>153</v>
      </c>
      <c r="AY94" s="155" t="s">
        <v>152</v>
      </c>
      <c r="AZ94" s="2">
        <f>IF($AB$30=$F$190,$AB$52*$AB$20,0)</f>
        <v>0</v>
      </c>
    </row>
    <row r="95" spans="1:52" s="167" customFormat="1" ht="39.950000000000003" customHeight="1" x14ac:dyDescent="0.25">
      <c r="A95" s="371"/>
      <c r="B95" s="358"/>
      <c r="C95" s="349"/>
      <c r="D95" s="350"/>
      <c r="E95" s="359" t="s">
        <v>579</v>
      </c>
      <c r="F95" s="360"/>
      <c r="G95" s="360"/>
      <c r="H95" s="360"/>
      <c r="I95" s="361"/>
      <c r="J95" s="305">
        <v>0</v>
      </c>
      <c r="K95" s="403"/>
      <c r="L95" s="332"/>
      <c r="M95" s="332"/>
      <c r="N95" s="332"/>
      <c r="O95" s="332"/>
      <c r="P95" s="332"/>
      <c r="Q95" s="332"/>
      <c r="R95" s="332"/>
      <c r="S95" s="332"/>
      <c r="T95" s="332"/>
      <c r="U95" s="332"/>
      <c r="V95" s="332"/>
      <c r="W95" s="332"/>
      <c r="X95" s="332"/>
      <c r="Y95" s="332"/>
      <c r="Z95" s="332"/>
      <c r="AA95" s="332"/>
      <c r="AB95" s="332"/>
      <c r="AI95" s="168" t="s">
        <v>155</v>
      </c>
      <c r="AJ95" s="169" t="s">
        <v>154</v>
      </c>
      <c r="AK95" s="167">
        <f>IF($H$30=$F$188,$H$53*$H$20,0)</f>
        <v>0</v>
      </c>
      <c r="AL95" s="168" t="s">
        <v>155</v>
      </c>
      <c r="AM95" s="169" t="s">
        <v>154</v>
      </c>
      <c r="AN95" s="167">
        <f>IF($L$30=$F$188,$L$53*$L$20,0)</f>
        <v>0</v>
      </c>
      <c r="AO95" s="168" t="s">
        <v>155</v>
      </c>
      <c r="AP95" s="169" t="s">
        <v>154</v>
      </c>
      <c r="AQ95" s="167">
        <f>IF($P$30=$F$188,$P$53*$P$20,0)</f>
        <v>0</v>
      </c>
      <c r="AR95" s="168" t="s">
        <v>155</v>
      </c>
      <c r="AS95" s="169" t="s">
        <v>154</v>
      </c>
      <c r="AT95" s="167">
        <f>IF($T$30=$F$188,$T$53*$T$20,0)</f>
        <v>0</v>
      </c>
      <c r="AU95" s="168" t="s">
        <v>155</v>
      </c>
      <c r="AV95" s="169" t="s">
        <v>154</v>
      </c>
      <c r="AW95" s="167">
        <f>IF($X$30=$F$188,$X$53*$X$20,0)</f>
        <v>0</v>
      </c>
      <c r="AX95" s="168" t="s">
        <v>155</v>
      </c>
      <c r="AY95" s="169" t="s">
        <v>154</v>
      </c>
      <c r="AZ95" s="167">
        <f>IF($AB$30=$F$188,$AB$53*$AB$20,0)</f>
        <v>0</v>
      </c>
    </row>
    <row r="96" spans="1:52" ht="30" customHeight="1" x14ac:dyDescent="0.25">
      <c r="A96" s="371"/>
      <c r="B96" s="357" t="s">
        <v>824</v>
      </c>
      <c r="C96" s="347" t="s">
        <v>955</v>
      </c>
      <c r="D96" s="348"/>
      <c r="E96" s="362" t="s">
        <v>784</v>
      </c>
      <c r="F96" s="363"/>
      <c r="G96" s="363"/>
      <c r="H96" s="363"/>
      <c r="I96" s="364"/>
      <c r="J96" s="305">
        <v>0</v>
      </c>
      <c r="K96" s="403"/>
      <c r="L96" s="332"/>
      <c r="M96" s="332"/>
      <c r="N96" s="332"/>
      <c r="O96" s="332"/>
      <c r="P96" s="332"/>
      <c r="Q96" s="332"/>
      <c r="R96" s="332"/>
      <c r="S96" s="332"/>
      <c r="T96" s="332"/>
      <c r="U96" s="332"/>
      <c r="V96" s="332"/>
      <c r="W96" s="332"/>
      <c r="X96" s="332"/>
      <c r="Y96" s="332"/>
      <c r="Z96" s="332"/>
      <c r="AA96" s="332"/>
      <c r="AB96" s="332"/>
      <c r="AI96" s="154" t="s">
        <v>157</v>
      </c>
      <c r="AJ96" s="155" t="s">
        <v>156</v>
      </c>
      <c r="AK96" s="2">
        <f>IF($H$30=$F$189,$H$53*$H$20,0)</f>
        <v>0</v>
      </c>
      <c r="AL96" s="154" t="s">
        <v>157</v>
      </c>
      <c r="AM96" s="155" t="s">
        <v>156</v>
      </c>
      <c r="AN96" s="2">
        <f>IF($L$30=$F$189,$L$53*$L$20,0)</f>
        <v>0</v>
      </c>
      <c r="AO96" s="154" t="s">
        <v>157</v>
      </c>
      <c r="AP96" s="155" t="s">
        <v>156</v>
      </c>
      <c r="AQ96" s="2">
        <f>IF($P$30=$F$189,$P$53*$P$20,0)</f>
        <v>0</v>
      </c>
      <c r="AR96" s="154" t="s">
        <v>157</v>
      </c>
      <c r="AS96" s="155" t="s">
        <v>156</v>
      </c>
      <c r="AT96" s="2">
        <f>IF($T$30=$F$189,$T$53*$T$20,0)</f>
        <v>0</v>
      </c>
      <c r="AU96" s="154" t="s">
        <v>157</v>
      </c>
      <c r="AV96" s="155" t="s">
        <v>156</v>
      </c>
      <c r="AW96" s="2">
        <f>IF($X$30=$F$189,$X$53*$X$20,0)</f>
        <v>0</v>
      </c>
      <c r="AX96" s="154" t="s">
        <v>157</v>
      </c>
      <c r="AY96" s="155" t="s">
        <v>156</v>
      </c>
      <c r="AZ96" s="2">
        <f>IF($AB$30=$F$189,$AB$53*$AB$20,0)</f>
        <v>0</v>
      </c>
    </row>
    <row r="97" spans="1:52" s="167" customFormat="1" ht="39.950000000000003" customHeight="1" x14ac:dyDescent="0.25">
      <c r="A97" s="371"/>
      <c r="B97" s="358"/>
      <c r="C97" s="349"/>
      <c r="D97" s="350"/>
      <c r="E97" s="359" t="s">
        <v>583</v>
      </c>
      <c r="F97" s="360"/>
      <c r="G97" s="360"/>
      <c r="H97" s="360"/>
      <c r="I97" s="361"/>
      <c r="J97" s="305">
        <v>0</v>
      </c>
      <c r="K97" s="403"/>
      <c r="L97" s="332"/>
      <c r="M97" s="332"/>
      <c r="N97" s="332"/>
      <c r="O97" s="332"/>
      <c r="P97" s="332"/>
      <c r="Q97" s="332"/>
      <c r="R97" s="332"/>
      <c r="S97" s="332"/>
      <c r="T97" s="332"/>
      <c r="U97" s="332"/>
      <c r="V97" s="332"/>
      <c r="W97" s="332"/>
      <c r="X97" s="332"/>
      <c r="Y97" s="332"/>
      <c r="Z97" s="332"/>
      <c r="AA97" s="332"/>
      <c r="AB97" s="332"/>
      <c r="AI97" s="168" t="s">
        <v>159</v>
      </c>
      <c r="AJ97" s="169" t="s">
        <v>158</v>
      </c>
      <c r="AK97" s="167">
        <f>IF($H$30=$F$190,$H$53*$H$20,0)</f>
        <v>0</v>
      </c>
      <c r="AL97" s="168" t="s">
        <v>159</v>
      </c>
      <c r="AM97" s="169" t="s">
        <v>158</v>
      </c>
      <c r="AN97" s="167">
        <f>IF($L$30=$F$190,$L$53*$L$20,0)</f>
        <v>0</v>
      </c>
      <c r="AO97" s="168" t="s">
        <v>159</v>
      </c>
      <c r="AP97" s="169" t="s">
        <v>158</v>
      </c>
      <c r="AQ97" s="167">
        <f>IF($P$30=$F$190,$P$53*$P$20,0)</f>
        <v>0</v>
      </c>
      <c r="AR97" s="168" t="s">
        <v>159</v>
      </c>
      <c r="AS97" s="169" t="s">
        <v>158</v>
      </c>
      <c r="AT97" s="167">
        <f>IF($T$30=$F$190,$T$53*$T$20,0)</f>
        <v>0</v>
      </c>
      <c r="AU97" s="168" t="s">
        <v>159</v>
      </c>
      <c r="AV97" s="169" t="s">
        <v>158</v>
      </c>
      <c r="AW97" s="167">
        <f>IF($X$30=$F$190,$X$53*$X$20,0)</f>
        <v>0</v>
      </c>
      <c r="AX97" s="168" t="s">
        <v>159</v>
      </c>
      <c r="AY97" s="169" t="s">
        <v>158</v>
      </c>
      <c r="AZ97" s="167">
        <f>IF($AB$30=$F$190,$AB$53*$AB$20,0)</f>
        <v>0</v>
      </c>
    </row>
    <row r="98" spans="1:52" ht="30" customHeight="1" x14ac:dyDescent="0.25">
      <c r="A98" s="371"/>
      <c r="B98" s="355" t="s">
        <v>825</v>
      </c>
      <c r="C98" s="347" t="s">
        <v>792</v>
      </c>
      <c r="D98" s="348"/>
      <c r="E98" s="362" t="s">
        <v>784</v>
      </c>
      <c r="F98" s="363"/>
      <c r="G98" s="363"/>
      <c r="H98" s="363"/>
      <c r="I98" s="364"/>
      <c r="J98" s="305">
        <v>0</v>
      </c>
      <c r="K98" s="403"/>
      <c r="L98" s="332"/>
      <c r="M98" s="332"/>
      <c r="N98" s="332"/>
      <c r="O98" s="332"/>
      <c r="P98" s="332"/>
      <c r="Q98" s="332"/>
      <c r="R98" s="332"/>
      <c r="S98" s="332"/>
      <c r="T98" s="332"/>
      <c r="U98" s="332"/>
      <c r="V98" s="332"/>
      <c r="W98" s="332"/>
      <c r="X98" s="332"/>
      <c r="Y98" s="332"/>
      <c r="Z98" s="332"/>
      <c r="AA98" s="332"/>
      <c r="AB98" s="332"/>
      <c r="AI98" s="154" t="s">
        <v>161</v>
      </c>
      <c r="AJ98" s="155" t="s">
        <v>160</v>
      </c>
      <c r="AK98" s="2">
        <f>IF($H$30=$F$188,$H$54*$H$20,0)</f>
        <v>0</v>
      </c>
      <c r="AL98" s="154" t="s">
        <v>161</v>
      </c>
      <c r="AM98" s="155" t="s">
        <v>160</v>
      </c>
      <c r="AN98" s="2">
        <f>IF($L$30=$F$188,$L$54*$L$20,0)</f>
        <v>0</v>
      </c>
      <c r="AO98" s="154" t="s">
        <v>161</v>
      </c>
      <c r="AP98" s="155" t="s">
        <v>160</v>
      </c>
      <c r="AQ98" s="2">
        <f>IF($P$30=$F$188,$P$54*$P$20,0)</f>
        <v>0</v>
      </c>
      <c r="AR98" s="154" t="s">
        <v>161</v>
      </c>
      <c r="AS98" s="155" t="s">
        <v>160</v>
      </c>
      <c r="AT98" s="2">
        <f>IF($T$30=$F$188,$T$54*$T$20,0)</f>
        <v>0</v>
      </c>
      <c r="AU98" s="154" t="s">
        <v>161</v>
      </c>
      <c r="AV98" s="155" t="s">
        <v>160</v>
      </c>
      <c r="AW98" s="2">
        <f>IF($X$30=$F$188,$X$54*$X$20,0)</f>
        <v>0</v>
      </c>
      <c r="AX98" s="154" t="s">
        <v>161</v>
      </c>
      <c r="AY98" s="155" t="s">
        <v>160</v>
      </c>
      <c r="AZ98" s="2">
        <f>IF($AB$30=$F$188,$AB$54*$AB$20,0)</f>
        <v>0</v>
      </c>
    </row>
    <row r="99" spans="1:52" s="167" customFormat="1" ht="39.950000000000003" customHeight="1" x14ac:dyDescent="0.25">
      <c r="A99" s="371"/>
      <c r="B99" s="355"/>
      <c r="C99" s="349"/>
      <c r="D99" s="350"/>
      <c r="E99" s="359" t="s">
        <v>715</v>
      </c>
      <c r="F99" s="360"/>
      <c r="G99" s="360"/>
      <c r="H99" s="360"/>
      <c r="I99" s="361"/>
      <c r="J99" s="305">
        <v>0</v>
      </c>
      <c r="K99" s="403"/>
      <c r="L99" s="332"/>
      <c r="M99" s="332"/>
      <c r="N99" s="332"/>
      <c r="O99" s="332"/>
      <c r="P99" s="332"/>
      <c r="Q99" s="332"/>
      <c r="R99" s="332"/>
      <c r="S99" s="332"/>
      <c r="T99" s="332"/>
      <c r="U99" s="332"/>
      <c r="V99" s="332"/>
      <c r="W99" s="332"/>
      <c r="X99" s="332"/>
      <c r="Y99" s="332"/>
      <c r="Z99" s="332"/>
      <c r="AA99" s="332"/>
      <c r="AB99" s="332"/>
      <c r="AI99" s="168" t="s">
        <v>163</v>
      </c>
      <c r="AJ99" s="169" t="s">
        <v>162</v>
      </c>
      <c r="AK99" s="167">
        <f>IF($H$30=$F$189,$H$54*$H$20,0)</f>
        <v>0</v>
      </c>
      <c r="AL99" s="168" t="s">
        <v>163</v>
      </c>
      <c r="AM99" s="169" t="s">
        <v>162</v>
      </c>
      <c r="AN99" s="167">
        <f>IF($L$30=$F$189,$L$54*$L$20,0)</f>
        <v>0</v>
      </c>
      <c r="AO99" s="168" t="s">
        <v>163</v>
      </c>
      <c r="AP99" s="169" t="s">
        <v>162</v>
      </c>
      <c r="AQ99" s="167">
        <f>IF($P$30=$F$189,$P$54*$P$20,0)</f>
        <v>0</v>
      </c>
      <c r="AR99" s="168" t="s">
        <v>163</v>
      </c>
      <c r="AS99" s="169" t="s">
        <v>162</v>
      </c>
      <c r="AT99" s="167">
        <f>IF($T$30=$F$189,$T$54*$T$20,0)</f>
        <v>0</v>
      </c>
      <c r="AU99" s="168" t="s">
        <v>163</v>
      </c>
      <c r="AV99" s="169" t="s">
        <v>162</v>
      </c>
      <c r="AW99" s="167">
        <f>IF($X$30=$F$189,$X$54*$X$20,0)</f>
        <v>0</v>
      </c>
      <c r="AX99" s="168" t="s">
        <v>163</v>
      </c>
      <c r="AY99" s="169" t="s">
        <v>162</v>
      </c>
      <c r="AZ99" s="167">
        <f>IF($AB$30=$F$189,$AB$54*$AB$20,0)</f>
        <v>0</v>
      </c>
    </row>
    <row r="100" spans="1:52" ht="30" customHeight="1" x14ac:dyDescent="0.25">
      <c r="A100" s="371"/>
      <c r="B100" s="357" t="s">
        <v>826</v>
      </c>
      <c r="C100" s="347" t="s">
        <v>793</v>
      </c>
      <c r="D100" s="348"/>
      <c r="E100" s="362" t="s">
        <v>784</v>
      </c>
      <c r="F100" s="363"/>
      <c r="G100" s="363"/>
      <c r="H100" s="363"/>
      <c r="I100" s="364"/>
      <c r="J100" s="305">
        <v>0</v>
      </c>
      <c r="K100" s="403"/>
      <c r="L100" s="332"/>
      <c r="M100" s="332"/>
      <c r="N100" s="332"/>
      <c r="O100" s="332"/>
      <c r="P100" s="332"/>
      <c r="Q100" s="332"/>
      <c r="R100" s="332"/>
      <c r="S100" s="332"/>
      <c r="T100" s="332"/>
      <c r="U100" s="332"/>
      <c r="V100" s="332"/>
      <c r="W100" s="332"/>
      <c r="X100" s="332"/>
      <c r="Y100" s="332"/>
      <c r="Z100" s="332"/>
      <c r="AA100" s="332"/>
      <c r="AB100" s="332"/>
      <c r="AI100" s="154" t="s">
        <v>165</v>
      </c>
      <c r="AJ100" s="155" t="s">
        <v>164</v>
      </c>
      <c r="AK100" s="2">
        <f>IF($H$30=$F$190,$H$54*$H$20,0)</f>
        <v>0</v>
      </c>
      <c r="AL100" s="154" t="s">
        <v>165</v>
      </c>
      <c r="AM100" s="155" t="s">
        <v>164</v>
      </c>
      <c r="AN100" s="2">
        <f>IF($L$30=$F$190,$L$54*$L$20,0)</f>
        <v>0</v>
      </c>
      <c r="AO100" s="154" t="s">
        <v>165</v>
      </c>
      <c r="AP100" s="155" t="s">
        <v>164</v>
      </c>
      <c r="AQ100" s="2">
        <f>IF($P$30=$F$190,$P$54*$P$20,0)</f>
        <v>0</v>
      </c>
      <c r="AR100" s="154" t="s">
        <v>165</v>
      </c>
      <c r="AS100" s="155" t="s">
        <v>164</v>
      </c>
      <c r="AT100" s="2">
        <f>IF($T$30=$F$190,$T$54*$T$20,0)</f>
        <v>0</v>
      </c>
      <c r="AU100" s="154" t="s">
        <v>165</v>
      </c>
      <c r="AV100" s="155" t="s">
        <v>164</v>
      </c>
      <c r="AW100" s="2">
        <f>IF($X$30=$F$190,$X$54*$X$20,0)</f>
        <v>0</v>
      </c>
      <c r="AX100" s="154" t="s">
        <v>165</v>
      </c>
      <c r="AY100" s="155" t="s">
        <v>164</v>
      </c>
      <c r="AZ100" s="2">
        <f>IF($AB$30=$F$190,$AB$54*$AB$20,0)</f>
        <v>0</v>
      </c>
    </row>
    <row r="101" spans="1:52" s="167" customFormat="1" ht="39.950000000000003" customHeight="1" x14ac:dyDescent="0.25">
      <c r="A101" s="371"/>
      <c r="B101" s="358"/>
      <c r="C101" s="349"/>
      <c r="D101" s="350"/>
      <c r="E101" s="359" t="s">
        <v>719</v>
      </c>
      <c r="F101" s="360"/>
      <c r="G101" s="360"/>
      <c r="H101" s="360"/>
      <c r="I101" s="361"/>
      <c r="J101" s="305">
        <v>0</v>
      </c>
      <c r="K101" s="403"/>
      <c r="L101" s="332"/>
      <c r="M101" s="332"/>
      <c r="N101" s="332"/>
      <c r="O101" s="332"/>
      <c r="P101" s="332"/>
      <c r="Q101" s="332"/>
      <c r="R101" s="332"/>
      <c r="S101" s="332"/>
      <c r="T101" s="332"/>
      <c r="U101" s="332"/>
      <c r="V101" s="332"/>
      <c r="W101" s="332"/>
      <c r="X101" s="332"/>
      <c r="Y101" s="332"/>
      <c r="Z101" s="332"/>
      <c r="AA101" s="332"/>
      <c r="AB101" s="332"/>
      <c r="AI101" s="173" t="s">
        <v>167</v>
      </c>
      <c r="AJ101" s="174" t="s">
        <v>166</v>
      </c>
      <c r="AK101" s="175"/>
      <c r="AL101" s="173" t="s">
        <v>167</v>
      </c>
      <c r="AM101" s="174" t="s">
        <v>166</v>
      </c>
      <c r="AN101" s="175"/>
      <c r="AO101" s="173" t="s">
        <v>167</v>
      </c>
      <c r="AP101" s="174" t="s">
        <v>166</v>
      </c>
      <c r="AQ101" s="175"/>
      <c r="AR101" s="173" t="s">
        <v>167</v>
      </c>
      <c r="AS101" s="174" t="s">
        <v>166</v>
      </c>
      <c r="AT101" s="175"/>
      <c r="AU101" s="173" t="s">
        <v>167</v>
      </c>
      <c r="AV101" s="174" t="s">
        <v>166</v>
      </c>
      <c r="AW101" s="175"/>
      <c r="AX101" s="173" t="s">
        <v>167</v>
      </c>
      <c r="AY101" s="174" t="s">
        <v>166</v>
      </c>
      <c r="AZ101" s="175"/>
    </row>
    <row r="102" spans="1:52" ht="30" customHeight="1" x14ac:dyDescent="0.25">
      <c r="A102" s="371"/>
      <c r="B102" s="355" t="s">
        <v>827</v>
      </c>
      <c r="C102" s="347" t="s">
        <v>956</v>
      </c>
      <c r="D102" s="348"/>
      <c r="E102" s="362" t="s">
        <v>784</v>
      </c>
      <c r="F102" s="363"/>
      <c r="G102" s="363"/>
      <c r="H102" s="363"/>
      <c r="I102" s="364"/>
      <c r="J102" s="305">
        <v>0</v>
      </c>
      <c r="K102" s="403"/>
      <c r="L102" s="332"/>
      <c r="M102" s="332"/>
      <c r="N102" s="332"/>
      <c r="O102" s="332"/>
      <c r="P102" s="332"/>
      <c r="Q102" s="332"/>
      <c r="R102" s="332"/>
      <c r="S102" s="332"/>
      <c r="T102" s="332"/>
      <c r="U102" s="332"/>
      <c r="V102" s="332"/>
      <c r="W102" s="332"/>
      <c r="X102" s="332"/>
      <c r="Y102" s="332"/>
      <c r="Z102" s="332"/>
      <c r="AA102" s="332"/>
      <c r="AB102" s="332"/>
      <c r="AI102" s="154" t="s">
        <v>170</v>
      </c>
      <c r="AJ102" s="155" t="s">
        <v>169</v>
      </c>
      <c r="AK102" s="2">
        <f>IF(AND($E$4=$G$187,SUM($H$56,$H$57,$H$58,$H$59,$H$60)&lt;&gt;0),$H$20,0)</f>
        <v>0</v>
      </c>
      <c r="AL102" s="154" t="s">
        <v>170</v>
      </c>
      <c r="AM102" s="155" t="s">
        <v>169</v>
      </c>
      <c r="AN102" s="2">
        <f>IF(AND($E$4=$G$187,SUM($L$56,$L$57,$L$58,$L$59,$L$60)&lt;&gt;0),$L$20,0)</f>
        <v>0</v>
      </c>
      <c r="AO102" s="154" t="s">
        <v>170</v>
      </c>
      <c r="AP102" s="155" t="s">
        <v>169</v>
      </c>
      <c r="AQ102" s="2">
        <f>IF(AND($E$4=$G$187,SUM($P$56,$P$57,$P$58,$P$59,$P$60)&lt;&gt;0),$P$20,0)</f>
        <v>0</v>
      </c>
      <c r="AR102" s="154" t="s">
        <v>170</v>
      </c>
      <c r="AS102" s="155" t="s">
        <v>169</v>
      </c>
      <c r="AT102" s="2">
        <f>IF(AND($E$4=$G$187,SUM($T$56,$T$57,$T$58,$T$59,$T$60)&lt;&gt;0),$T$20,0)</f>
        <v>0</v>
      </c>
      <c r="AU102" s="154" t="s">
        <v>170</v>
      </c>
      <c r="AV102" s="155" t="s">
        <v>169</v>
      </c>
      <c r="AW102" s="2">
        <f>IF(AND($E$4=$G$187,SUM($X$56,$X$57,$X$58,$X$59,$X$60)&lt;&gt;0),$X$20,0)</f>
        <v>0</v>
      </c>
      <c r="AX102" s="154" t="s">
        <v>170</v>
      </c>
      <c r="AY102" s="155" t="s">
        <v>169</v>
      </c>
      <c r="AZ102" s="2">
        <f>IF(AND($E$4=$G$187,SUM($AB$56,$AB$57,$AB$58,$AB$59,$AB$60)&lt;&gt;0),$AB$20,0)</f>
        <v>0</v>
      </c>
    </row>
    <row r="103" spans="1:52" s="167" customFormat="1" ht="39.950000000000003" customHeight="1" x14ac:dyDescent="0.25">
      <c r="A103" s="371"/>
      <c r="B103" s="355"/>
      <c r="C103" s="349"/>
      <c r="D103" s="350"/>
      <c r="E103" s="359" t="s">
        <v>508</v>
      </c>
      <c r="F103" s="360"/>
      <c r="G103" s="360"/>
      <c r="H103" s="360"/>
      <c r="I103" s="361"/>
      <c r="J103" s="305">
        <v>0</v>
      </c>
      <c r="K103" s="403"/>
      <c r="L103" s="332"/>
      <c r="M103" s="332"/>
      <c r="N103" s="332"/>
      <c r="O103" s="332"/>
      <c r="P103" s="332"/>
      <c r="Q103" s="332"/>
      <c r="R103" s="332"/>
      <c r="S103" s="332"/>
      <c r="T103" s="332"/>
      <c r="U103" s="332"/>
      <c r="V103" s="332"/>
      <c r="W103" s="332"/>
      <c r="X103" s="332"/>
      <c r="Y103" s="332"/>
      <c r="Z103" s="332"/>
      <c r="AA103" s="332"/>
      <c r="AB103" s="332"/>
      <c r="AI103" s="168" t="s">
        <v>172</v>
      </c>
      <c r="AJ103" s="169" t="s">
        <v>171</v>
      </c>
      <c r="AK103" s="2">
        <f>IF(AND($E$4=$G$188,SUM($H$56,$H$57,$H$58,$H$59,$H$60)&lt;&gt;0),$H$20,0)</f>
        <v>0</v>
      </c>
      <c r="AL103" s="168" t="s">
        <v>172</v>
      </c>
      <c r="AM103" s="169" t="s">
        <v>171</v>
      </c>
      <c r="AN103" s="167">
        <f>IF(AND($E$4=$G$188,SUM($L$56,$L$57,$L$58,$L$59,$L$60)&lt;&gt;0),$L$20,0)</f>
        <v>0</v>
      </c>
      <c r="AO103" s="168" t="s">
        <v>172</v>
      </c>
      <c r="AP103" s="169" t="s">
        <v>171</v>
      </c>
      <c r="AQ103" s="167">
        <f>IF(AND($E$4=$G$188,SUM($P$56,$P$57,$P$58,$P$59,$P$60)&lt;&gt;0),$P$20,0)</f>
        <v>0</v>
      </c>
      <c r="AR103" s="168" t="s">
        <v>172</v>
      </c>
      <c r="AS103" s="169" t="s">
        <v>171</v>
      </c>
      <c r="AT103" s="167">
        <f>IF(AND($E$4=$G$188,SUM($T$56,$T$57,$T$58,$T$59,$T$60)&lt;&gt;0),$T$20,0)</f>
        <v>0</v>
      </c>
      <c r="AU103" s="168" t="s">
        <v>172</v>
      </c>
      <c r="AV103" s="169" t="s">
        <v>171</v>
      </c>
      <c r="AW103" s="167">
        <f>IF(AND($E$4=$G$188,SUM($X$56,$X$57,$X$58,$X$59,$X$60)&lt;&gt;0),$X$20,0)</f>
        <v>0</v>
      </c>
      <c r="AX103" s="168" t="s">
        <v>172</v>
      </c>
      <c r="AY103" s="169" t="s">
        <v>171</v>
      </c>
      <c r="AZ103" s="167">
        <f>IF(AND($E$4=$G$188,SUM($AB$56,$AB$57,$AB$58,$AB$59,$AB$60)&lt;&gt;0),$AB$20,0)</f>
        <v>0</v>
      </c>
    </row>
    <row r="104" spans="1:52" ht="30" customHeight="1" x14ac:dyDescent="0.25">
      <c r="A104" s="371"/>
      <c r="B104" s="357" t="s">
        <v>959</v>
      </c>
      <c r="C104" s="347" t="s">
        <v>957</v>
      </c>
      <c r="D104" s="348"/>
      <c r="E104" s="362" t="s">
        <v>784</v>
      </c>
      <c r="F104" s="363"/>
      <c r="G104" s="363"/>
      <c r="H104" s="363"/>
      <c r="I104" s="364"/>
      <c r="J104" s="305">
        <v>0</v>
      </c>
      <c r="K104" s="403"/>
      <c r="L104" s="332"/>
      <c r="M104" s="332"/>
      <c r="N104" s="332"/>
      <c r="O104" s="332"/>
      <c r="P104" s="332"/>
      <c r="Q104" s="332"/>
      <c r="R104" s="332"/>
      <c r="S104" s="332"/>
      <c r="T104" s="332"/>
      <c r="U104" s="332"/>
      <c r="V104" s="332"/>
      <c r="W104" s="332"/>
      <c r="X104" s="332"/>
      <c r="Y104" s="332"/>
      <c r="Z104" s="332"/>
      <c r="AA104" s="332"/>
      <c r="AB104" s="332"/>
      <c r="AI104" s="154" t="s">
        <v>174</v>
      </c>
      <c r="AJ104" s="155" t="s">
        <v>173</v>
      </c>
      <c r="AK104" s="2">
        <f>IF(AND($E$4=$G$189,SUM($H$56,$H$57,$H$58,$H$59,$H$60)&lt;&gt;0),$H$20,0)</f>
        <v>0</v>
      </c>
      <c r="AL104" s="154" t="s">
        <v>174</v>
      </c>
      <c r="AM104" s="155" t="s">
        <v>173</v>
      </c>
      <c r="AN104" s="2">
        <f>IF(AND($E$4=$G$189,SUM($L$56,$L$57,$L$58,$L$59,$L$60)&lt;&gt;0),$L$20,0)</f>
        <v>0</v>
      </c>
      <c r="AO104" s="154" t="s">
        <v>174</v>
      </c>
      <c r="AP104" s="155" t="s">
        <v>173</v>
      </c>
      <c r="AQ104" s="2">
        <f>IF(AND($E$4=$G$189,SUM($P$56,$P$57,$P$58,$P$59,$P$60)&lt;&gt;0),$P$20,0)</f>
        <v>0</v>
      </c>
      <c r="AR104" s="154" t="s">
        <v>174</v>
      </c>
      <c r="AS104" s="155" t="s">
        <v>173</v>
      </c>
      <c r="AT104" s="2">
        <f>IF(AND($E$4=$G$189,SUM($T$56,$T$57,$T$58,$T$59,$T$60)&lt;&gt;0),$T$20,0)</f>
        <v>0</v>
      </c>
      <c r="AU104" s="154" t="s">
        <v>174</v>
      </c>
      <c r="AV104" s="155" t="s">
        <v>173</v>
      </c>
      <c r="AW104" s="2">
        <f>IF(AND($E$4=$G$189,SUM($X$56,$X$57,$X$58,$X$59,$X$60)&lt;&gt;0),$X$20,0)</f>
        <v>0</v>
      </c>
      <c r="AX104" s="154" t="s">
        <v>174</v>
      </c>
      <c r="AY104" s="155" t="s">
        <v>173</v>
      </c>
      <c r="AZ104" s="2">
        <f>IF(AND($E$4=$G$189,SUM($AB$56,$AB$57,$AB$58,$AB$59,$AB$60)&lt;&gt;0),$AB$20,0)</f>
        <v>0</v>
      </c>
    </row>
    <row r="105" spans="1:52" s="167" customFormat="1" ht="39.950000000000003" customHeight="1" x14ac:dyDescent="0.25">
      <c r="A105" s="371"/>
      <c r="B105" s="358"/>
      <c r="C105" s="349"/>
      <c r="D105" s="350"/>
      <c r="E105" s="359" t="s">
        <v>514</v>
      </c>
      <c r="F105" s="360"/>
      <c r="G105" s="360"/>
      <c r="H105" s="360"/>
      <c r="I105" s="361"/>
      <c r="J105" s="305">
        <v>0</v>
      </c>
      <c r="K105" s="403"/>
      <c r="L105" s="332"/>
      <c r="M105" s="332"/>
      <c r="N105" s="332"/>
      <c r="O105" s="332"/>
      <c r="P105" s="332"/>
      <c r="Q105" s="332"/>
      <c r="R105" s="332"/>
      <c r="S105" s="332"/>
      <c r="T105" s="332"/>
      <c r="U105" s="332"/>
      <c r="V105" s="332"/>
      <c r="W105" s="332"/>
      <c r="X105" s="332"/>
      <c r="Y105" s="332"/>
      <c r="Z105" s="332"/>
      <c r="AA105" s="332"/>
      <c r="AB105" s="332"/>
      <c r="AI105" s="173" t="s">
        <v>176</v>
      </c>
      <c r="AJ105" s="174" t="s">
        <v>175</v>
      </c>
      <c r="AK105" s="175"/>
      <c r="AL105" s="173" t="s">
        <v>176</v>
      </c>
      <c r="AM105" s="174" t="s">
        <v>175</v>
      </c>
      <c r="AN105" s="175"/>
      <c r="AO105" s="173" t="s">
        <v>176</v>
      </c>
      <c r="AP105" s="174" t="s">
        <v>175</v>
      </c>
      <c r="AQ105" s="175"/>
      <c r="AR105" s="173" t="s">
        <v>176</v>
      </c>
      <c r="AS105" s="174" t="s">
        <v>175</v>
      </c>
      <c r="AT105" s="175"/>
      <c r="AU105" s="173" t="s">
        <v>176</v>
      </c>
      <c r="AV105" s="174" t="s">
        <v>175</v>
      </c>
      <c r="AW105" s="175"/>
      <c r="AX105" s="173" t="s">
        <v>176</v>
      </c>
      <c r="AY105" s="174" t="s">
        <v>175</v>
      </c>
      <c r="AZ105" s="175"/>
    </row>
    <row r="106" spans="1:52" ht="30" customHeight="1" x14ac:dyDescent="0.25">
      <c r="A106" s="371"/>
      <c r="B106" s="357" t="s">
        <v>828</v>
      </c>
      <c r="C106" s="347" t="s">
        <v>934</v>
      </c>
      <c r="D106" s="348"/>
      <c r="E106" s="362" t="s">
        <v>784</v>
      </c>
      <c r="F106" s="363"/>
      <c r="G106" s="363"/>
      <c r="H106" s="363"/>
      <c r="I106" s="364"/>
      <c r="J106" s="305">
        <v>0</v>
      </c>
      <c r="K106" s="403"/>
      <c r="L106" s="332"/>
      <c r="M106" s="332"/>
      <c r="N106" s="332"/>
      <c r="O106" s="332"/>
      <c r="P106" s="332"/>
      <c r="Q106" s="332"/>
      <c r="R106" s="332"/>
      <c r="S106" s="332"/>
      <c r="T106" s="332"/>
      <c r="U106" s="332"/>
      <c r="V106" s="332"/>
      <c r="W106" s="332"/>
      <c r="X106" s="332"/>
      <c r="Y106" s="332"/>
      <c r="Z106" s="332"/>
      <c r="AA106" s="332"/>
      <c r="AB106" s="332"/>
      <c r="AI106" s="176" t="s">
        <v>178</v>
      </c>
      <c r="AJ106" s="177" t="s">
        <v>177</v>
      </c>
      <c r="AK106" s="178"/>
      <c r="AL106" s="176" t="s">
        <v>178</v>
      </c>
      <c r="AM106" s="177" t="s">
        <v>177</v>
      </c>
      <c r="AN106" s="178"/>
      <c r="AO106" s="176" t="s">
        <v>178</v>
      </c>
      <c r="AP106" s="177" t="s">
        <v>177</v>
      </c>
      <c r="AQ106" s="178"/>
      <c r="AR106" s="176" t="s">
        <v>178</v>
      </c>
      <c r="AS106" s="177" t="s">
        <v>177</v>
      </c>
      <c r="AT106" s="178"/>
      <c r="AU106" s="176" t="s">
        <v>178</v>
      </c>
      <c r="AV106" s="177" t="s">
        <v>177</v>
      </c>
      <c r="AW106" s="178"/>
      <c r="AX106" s="176" t="s">
        <v>178</v>
      </c>
      <c r="AY106" s="177" t="s">
        <v>177</v>
      </c>
      <c r="AZ106" s="178"/>
    </row>
    <row r="107" spans="1:52" s="167" customFormat="1" ht="39.950000000000003" customHeight="1" x14ac:dyDescent="0.25">
      <c r="A107" s="371"/>
      <c r="B107" s="358"/>
      <c r="C107" s="349"/>
      <c r="D107" s="350"/>
      <c r="E107" s="359" t="s">
        <v>550</v>
      </c>
      <c r="F107" s="360"/>
      <c r="G107" s="360"/>
      <c r="H107" s="360"/>
      <c r="I107" s="361"/>
      <c r="J107" s="305">
        <v>0</v>
      </c>
      <c r="K107" s="403"/>
      <c r="L107" s="332"/>
      <c r="M107" s="332"/>
      <c r="N107" s="332"/>
      <c r="O107" s="332"/>
      <c r="P107" s="332"/>
      <c r="Q107" s="332"/>
      <c r="R107" s="332"/>
      <c r="S107" s="332"/>
      <c r="T107" s="332"/>
      <c r="U107" s="332"/>
      <c r="V107" s="332"/>
      <c r="W107" s="332"/>
      <c r="X107" s="332"/>
      <c r="Y107" s="332"/>
      <c r="Z107" s="332"/>
      <c r="AA107" s="332"/>
      <c r="AB107" s="332"/>
      <c r="AI107" s="168" t="s">
        <v>180</v>
      </c>
      <c r="AJ107" s="169" t="s">
        <v>179</v>
      </c>
      <c r="AK107" s="167">
        <f>IF($H$30=$F$187,$H$57*$H$20,0)</f>
        <v>0</v>
      </c>
      <c r="AL107" s="168" t="s">
        <v>180</v>
      </c>
      <c r="AM107" s="169" t="s">
        <v>179</v>
      </c>
      <c r="AN107" s="167">
        <f>IF($L$30=$F$187,$L$57*$L$20,0)</f>
        <v>0</v>
      </c>
      <c r="AO107" s="168" t="s">
        <v>180</v>
      </c>
      <c r="AP107" s="169" t="s">
        <v>179</v>
      </c>
      <c r="AQ107" s="167">
        <f>IF($P$30=$F$187,$P$57*$P$20,0)</f>
        <v>0</v>
      </c>
      <c r="AR107" s="168" t="s">
        <v>180</v>
      </c>
      <c r="AS107" s="169" t="s">
        <v>179</v>
      </c>
      <c r="AT107" s="167">
        <f>IF($T$30=$F$187,$T$57*$T$20,0)</f>
        <v>0</v>
      </c>
      <c r="AU107" s="168" t="s">
        <v>180</v>
      </c>
      <c r="AV107" s="169" t="s">
        <v>179</v>
      </c>
      <c r="AW107" s="167">
        <f>IF($X$30=$F$187,$X$57*$X$20,0)</f>
        <v>0</v>
      </c>
      <c r="AX107" s="168" t="s">
        <v>180</v>
      </c>
      <c r="AY107" s="169" t="s">
        <v>179</v>
      </c>
      <c r="AZ107" s="167">
        <f>IF($AB$30=$F$187,$AB$57*$AB$20,0)</f>
        <v>0</v>
      </c>
    </row>
    <row r="108" spans="1:52" ht="30" customHeight="1" x14ac:dyDescent="0.25">
      <c r="A108" s="371"/>
      <c r="B108" s="355" t="s">
        <v>829</v>
      </c>
      <c r="C108" s="347" t="s">
        <v>935</v>
      </c>
      <c r="D108" s="348"/>
      <c r="E108" s="362" t="s">
        <v>784</v>
      </c>
      <c r="F108" s="363"/>
      <c r="G108" s="363"/>
      <c r="H108" s="363"/>
      <c r="I108" s="364"/>
      <c r="J108" s="305">
        <v>0</v>
      </c>
      <c r="K108" s="403"/>
      <c r="L108" s="332"/>
      <c r="M108" s="332"/>
      <c r="N108" s="332"/>
      <c r="O108" s="332"/>
      <c r="P108" s="332"/>
      <c r="Q108" s="332"/>
      <c r="R108" s="332"/>
      <c r="S108" s="332"/>
      <c r="T108" s="332"/>
      <c r="U108" s="332"/>
      <c r="V108" s="332"/>
      <c r="W108" s="332"/>
      <c r="X108" s="332"/>
      <c r="Y108" s="332"/>
      <c r="Z108" s="332"/>
      <c r="AA108" s="332"/>
      <c r="AB108" s="332"/>
      <c r="AI108" s="154" t="s">
        <v>182</v>
      </c>
      <c r="AJ108" s="155" t="s">
        <v>181</v>
      </c>
      <c r="AK108" s="2">
        <f>IF($H$30=$F$188,$H$57*$H$20,0)</f>
        <v>0</v>
      </c>
      <c r="AL108" s="154" t="s">
        <v>182</v>
      </c>
      <c r="AM108" s="155" t="s">
        <v>181</v>
      </c>
      <c r="AN108" s="2">
        <f>IF($L$30=$F$188,$L$57*$L$20,0)</f>
        <v>0</v>
      </c>
      <c r="AO108" s="154" t="s">
        <v>182</v>
      </c>
      <c r="AP108" s="155" t="s">
        <v>181</v>
      </c>
      <c r="AQ108" s="2">
        <f>IF($P$30=$F$188,$P$57*$P$20,0)</f>
        <v>0</v>
      </c>
      <c r="AR108" s="154" t="s">
        <v>182</v>
      </c>
      <c r="AS108" s="155" t="s">
        <v>181</v>
      </c>
      <c r="AT108" s="2">
        <f>IF($T$30=$F$188,$T$57*$T$20,0)</f>
        <v>0</v>
      </c>
      <c r="AU108" s="154" t="s">
        <v>182</v>
      </c>
      <c r="AV108" s="155" t="s">
        <v>181</v>
      </c>
      <c r="AW108" s="2">
        <f>IF($X$30=$F$188,$X$57*$X$20,0)</f>
        <v>0</v>
      </c>
      <c r="AX108" s="154" t="s">
        <v>182</v>
      </c>
      <c r="AY108" s="155" t="s">
        <v>181</v>
      </c>
      <c r="AZ108" s="2">
        <f>IF($AB$30=$F$188,$AB$57*$AB$20,0)</f>
        <v>0</v>
      </c>
    </row>
    <row r="109" spans="1:52" s="167" customFormat="1" ht="39.950000000000003" customHeight="1" x14ac:dyDescent="0.25">
      <c r="A109" s="371"/>
      <c r="B109" s="355"/>
      <c r="C109" s="349"/>
      <c r="D109" s="350"/>
      <c r="E109" s="359" t="s">
        <v>564</v>
      </c>
      <c r="F109" s="360"/>
      <c r="G109" s="360"/>
      <c r="H109" s="360"/>
      <c r="I109" s="361"/>
      <c r="J109" s="305">
        <v>0</v>
      </c>
      <c r="K109" s="403"/>
      <c r="L109" s="332"/>
      <c r="M109" s="332"/>
      <c r="N109" s="332"/>
      <c r="O109" s="332"/>
      <c r="P109" s="332"/>
      <c r="Q109" s="332"/>
      <c r="R109" s="332"/>
      <c r="S109" s="332"/>
      <c r="T109" s="332"/>
      <c r="U109" s="332"/>
      <c r="V109" s="332"/>
      <c r="W109" s="332"/>
      <c r="X109" s="332"/>
      <c r="Y109" s="332"/>
      <c r="Z109" s="332"/>
      <c r="AA109" s="332"/>
      <c r="AB109" s="332"/>
      <c r="AI109" s="168" t="s">
        <v>184</v>
      </c>
      <c r="AJ109" s="169" t="s">
        <v>183</v>
      </c>
      <c r="AK109" s="167">
        <f>IF($H$30=$F$189,$H$57*$H$20,0)</f>
        <v>0</v>
      </c>
      <c r="AL109" s="168" t="s">
        <v>184</v>
      </c>
      <c r="AM109" s="169" t="s">
        <v>183</v>
      </c>
      <c r="AN109" s="167">
        <f>IF($L$30=$F$189,$L$57*$L$20,0)</f>
        <v>0</v>
      </c>
      <c r="AO109" s="168" t="s">
        <v>184</v>
      </c>
      <c r="AP109" s="169" t="s">
        <v>183</v>
      </c>
      <c r="AQ109" s="167">
        <f>IF($P$30=$F$189,$P$57*$P$20,0)</f>
        <v>0</v>
      </c>
      <c r="AR109" s="168" t="s">
        <v>184</v>
      </c>
      <c r="AS109" s="169" t="s">
        <v>183</v>
      </c>
      <c r="AT109" s="167">
        <f>IF($T$30=$F$189,$T$57*$T$20,0)</f>
        <v>0</v>
      </c>
      <c r="AU109" s="168" t="s">
        <v>184</v>
      </c>
      <c r="AV109" s="169" t="s">
        <v>183</v>
      </c>
      <c r="AW109" s="167">
        <f>IF($X$30=$F$189,$X$57*$X$20,0)</f>
        <v>0</v>
      </c>
      <c r="AX109" s="168" t="s">
        <v>184</v>
      </c>
      <c r="AY109" s="169" t="s">
        <v>183</v>
      </c>
      <c r="AZ109" s="167">
        <f>IF($AB$30=$F$189,$AB$57*$AB$20,0)</f>
        <v>0</v>
      </c>
    </row>
    <row r="110" spans="1:52" s="167" customFormat="1" ht="39.950000000000003" customHeight="1" x14ac:dyDescent="0.25">
      <c r="A110" s="371"/>
      <c r="B110" s="259" t="s">
        <v>830</v>
      </c>
      <c r="C110" s="410" t="s">
        <v>795</v>
      </c>
      <c r="D110" s="411"/>
      <c r="E110" s="359" t="s">
        <v>568</v>
      </c>
      <c r="F110" s="360"/>
      <c r="G110" s="360"/>
      <c r="H110" s="360"/>
      <c r="I110" s="361"/>
      <c r="J110" s="214">
        <v>0</v>
      </c>
      <c r="K110" s="403"/>
      <c r="L110" s="332"/>
      <c r="M110" s="332"/>
      <c r="N110" s="332"/>
      <c r="O110" s="332"/>
      <c r="P110" s="332"/>
      <c r="Q110" s="332"/>
      <c r="R110" s="332"/>
      <c r="S110" s="332"/>
      <c r="T110" s="332"/>
      <c r="U110" s="332"/>
      <c r="V110" s="332"/>
      <c r="W110" s="332"/>
      <c r="X110" s="332"/>
      <c r="Y110" s="332"/>
      <c r="Z110" s="332"/>
      <c r="AA110" s="332"/>
      <c r="AB110" s="332"/>
      <c r="AI110" s="168" t="s">
        <v>186</v>
      </c>
      <c r="AJ110" s="169" t="s">
        <v>185</v>
      </c>
      <c r="AK110" s="167">
        <f>IF($H$30=$F$190,$H$57*$H$20,0)</f>
        <v>0</v>
      </c>
      <c r="AL110" s="168" t="s">
        <v>186</v>
      </c>
      <c r="AM110" s="169" t="s">
        <v>185</v>
      </c>
      <c r="AN110" s="167">
        <f>IF($L$30=$F$190,$L$57*$L$20,0)</f>
        <v>0</v>
      </c>
      <c r="AO110" s="168" t="s">
        <v>186</v>
      </c>
      <c r="AP110" s="169" t="s">
        <v>185</v>
      </c>
      <c r="AQ110" s="167">
        <f>IF($P$30=$F$190,$P$57*$P$20,0)</f>
        <v>0</v>
      </c>
      <c r="AR110" s="168" t="s">
        <v>186</v>
      </c>
      <c r="AS110" s="169" t="s">
        <v>185</v>
      </c>
      <c r="AT110" s="167">
        <f>IF($T$30=$F$190,$T$57*$T$20,0)</f>
        <v>0</v>
      </c>
      <c r="AU110" s="168" t="s">
        <v>186</v>
      </c>
      <c r="AV110" s="169" t="s">
        <v>185</v>
      </c>
      <c r="AW110" s="167">
        <f>IF($X$30=$F$190,$X$57*$X$20,0)</f>
        <v>0</v>
      </c>
      <c r="AX110" s="168" t="s">
        <v>186</v>
      </c>
      <c r="AY110" s="169" t="s">
        <v>185</v>
      </c>
      <c r="AZ110" s="167">
        <f>IF($AB$30=$F$190,$AB$57*$AB$20,0)</f>
        <v>0</v>
      </c>
    </row>
    <row r="111" spans="1:52" ht="26.25" customHeight="1" x14ac:dyDescent="0.25">
      <c r="A111" s="371"/>
      <c r="B111" s="355" t="s">
        <v>831</v>
      </c>
      <c r="C111" s="347" t="s">
        <v>796</v>
      </c>
      <c r="D111" s="348"/>
      <c r="E111" s="362" t="s">
        <v>784</v>
      </c>
      <c r="F111" s="363"/>
      <c r="G111" s="363"/>
      <c r="H111" s="363"/>
      <c r="I111" s="364"/>
      <c r="J111" s="305">
        <v>0</v>
      </c>
      <c r="K111" s="403"/>
      <c r="L111" s="332"/>
      <c r="M111" s="332"/>
      <c r="N111" s="332"/>
      <c r="O111" s="332"/>
      <c r="P111" s="332"/>
      <c r="Q111" s="332"/>
      <c r="R111" s="332"/>
      <c r="S111" s="332"/>
      <c r="T111" s="332"/>
      <c r="U111" s="332"/>
      <c r="V111" s="332"/>
      <c r="W111" s="332"/>
      <c r="X111" s="332"/>
      <c r="Y111" s="332"/>
      <c r="Z111" s="332"/>
      <c r="AA111" s="332"/>
      <c r="AB111" s="332"/>
      <c r="AI111" s="154" t="s">
        <v>188</v>
      </c>
      <c r="AJ111" s="155" t="s">
        <v>187</v>
      </c>
      <c r="AK111" s="2">
        <f>IF(AND($H$30=$F$187,$E$4=$G$187),$H$59*$H$20,0)</f>
        <v>0</v>
      </c>
      <c r="AL111" s="154" t="s">
        <v>188</v>
      </c>
      <c r="AM111" s="155" t="s">
        <v>187</v>
      </c>
      <c r="AN111" s="2">
        <f>IF(AND($L$30=$F$187,$E$4=$G$187),$L$59*$L$20,0)</f>
        <v>0</v>
      </c>
      <c r="AO111" s="154" t="s">
        <v>188</v>
      </c>
      <c r="AP111" s="155" t="s">
        <v>187</v>
      </c>
      <c r="AQ111" s="2">
        <f>IF(AND($P$30=$F$187,$E$4=$G$187),$P$59*$P$20,0)</f>
        <v>0</v>
      </c>
      <c r="AR111" s="154" t="s">
        <v>188</v>
      </c>
      <c r="AS111" s="155" t="s">
        <v>187</v>
      </c>
      <c r="AT111" s="2">
        <f>IF(AND($T$30=$F$187,$E$4=$G$187),$T$59*$T$20,0)</f>
        <v>0</v>
      </c>
      <c r="AU111" s="154" t="s">
        <v>188</v>
      </c>
      <c r="AV111" s="155" t="s">
        <v>187</v>
      </c>
      <c r="AW111" s="2">
        <f>IF(AND($X$30=$F$187,$E$4=$G$187),$X$59*$X$20,0)</f>
        <v>0</v>
      </c>
      <c r="AX111" s="154" t="s">
        <v>188</v>
      </c>
      <c r="AY111" s="155" t="s">
        <v>187</v>
      </c>
      <c r="AZ111" s="2">
        <f>IF(AND($AB$30=$F$187,$E$4=$G$187),$AB$59*$AB$20,0)</f>
        <v>0</v>
      </c>
    </row>
    <row r="112" spans="1:52" s="167" customFormat="1" ht="63" customHeight="1" thickBot="1" x14ac:dyDescent="0.3">
      <c r="A112" s="371"/>
      <c r="B112" s="356"/>
      <c r="C112" s="404"/>
      <c r="D112" s="405"/>
      <c r="E112" s="412" t="s">
        <v>18</v>
      </c>
      <c r="F112" s="413"/>
      <c r="G112" s="413"/>
      <c r="H112" s="413"/>
      <c r="I112" s="414"/>
      <c r="J112" s="354">
        <v>0</v>
      </c>
      <c r="K112" s="408" t="s">
        <v>1042</v>
      </c>
      <c r="L112" s="409"/>
      <c r="M112" s="409"/>
      <c r="N112" s="409"/>
      <c r="O112" s="409"/>
      <c r="P112" s="409"/>
      <c r="Q112" s="409"/>
      <c r="R112" s="409"/>
      <c r="S112" s="409"/>
      <c r="T112" s="409"/>
      <c r="U112" s="409"/>
      <c r="V112" s="409"/>
      <c r="W112" s="409"/>
      <c r="X112" s="409"/>
      <c r="Y112" s="409"/>
      <c r="Z112" s="409"/>
      <c r="AA112" s="409"/>
      <c r="AB112" s="409"/>
      <c r="AI112" s="168" t="s">
        <v>190</v>
      </c>
      <c r="AJ112" s="169" t="s">
        <v>189</v>
      </c>
      <c r="AK112" s="167">
        <f>IF(AND($H$30=$F$187,$E$4=$G$188),$H$59*$H$20,0)</f>
        <v>0</v>
      </c>
      <c r="AL112" s="168" t="s">
        <v>190</v>
      </c>
      <c r="AM112" s="169" t="s">
        <v>189</v>
      </c>
      <c r="AN112" s="167">
        <f>IF(AND($L$30=$F$187,$E$4=$G$188),$L$59*$L$20,0)</f>
        <v>0</v>
      </c>
      <c r="AO112" s="168" t="s">
        <v>190</v>
      </c>
      <c r="AP112" s="169" t="s">
        <v>189</v>
      </c>
      <c r="AQ112" s="167">
        <f>IF(AND($P$30=$F$187,$E$4=$G$188),$P$59*$P$20,0)</f>
        <v>0</v>
      </c>
      <c r="AR112" s="168" t="s">
        <v>190</v>
      </c>
      <c r="AS112" s="169" t="s">
        <v>189</v>
      </c>
      <c r="AT112" s="167">
        <f>IF(AND($T$30=$F$187,$E$4=$G$188),$T$59*$T$20,0)</f>
        <v>0</v>
      </c>
      <c r="AU112" s="168" t="s">
        <v>190</v>
      </c>
      <c r="AV112" s="169" t="s">
        <v>189</v>
      </c>
      <c r="AW112" s="167">
        <f>IF(AND($X$30=$F$187,$E$4=$G$188),$X$59*$X$20,0)</f>
        <v>0</v>
      </c>
      <c r="AX112" s="168" t="s">
        <v>190</v>
      </c>
      <c r="AY112" s="169" t="s">
        <v>189</v>
      </c>
      <c r="AZ112" s="167">
        <f>IF(AND($AB$30=$F$187,$E$4=$G$188),$AB$59*$AB$20,0)</f>
        <v>0</v>
      </c>
    </row>
    <row r="113" spans="8:52" ht="63" hidden="1" customHeight="1" x14ac:dyDescent="0.25">
      <c r="AI113" s="154" t="s">
        <v>192</v>
      </c>
      <c r="AJ113" s="155" t="s">
        <v>191</v>
      </c>
      <c r="AK113" s="2">
        <f>IF(AND($H$30=$F$187,$E$4=$G$189),$H$59*$H$20,0)</f>
        <v>0</v>
      </c>
      <c r="AL113" s="154" t="s">
        <v>192</v>
      </c>
      <c r="AM113" s="155" t="s">
        <v>191</v>
      </c>
      <c r="AN113" s="2">
        <f>IF(AND($L$30=$F$187,$E$4=$G$189),$L$59*$L$20,0)</f>
        <v>0</v>
      </c>
      <c r="AO113" s="154" t="s">
        <v>192</v>
      </c>
      <c r="AP113" s="155" t="s">
        <v>191</v>
      </c>
      <c r="AQ113" s="2">
        <f>IF(AND($P$30=$F$187,$E$4=$G$189),$P$59*$P$20,0)</f>
        <v>0</v>
      </c>
      <c r="AR113" s="154" t="s">
        <v>192</v>
      </c>
      <c r="AS113" s="155" t="s">
        <v>191</v>
      </c>
      <c r="AT113" s="2">
        <f>IF(AND($T$30=$F$187,$E$4=$G$189),$T$59*$T$20,0)</f>
        <v>0</v>
      </c>
      <c r="AU113" s="154" t="s">
        <v>192</v>
      </c>
      <c r="AV113" s="155" t="s">
        <v>191</v>
      </c>
      <c r="AW113" s="2">
        <f>IF(AND($X$30=$F$187,$E$4=$G$189),$X$59*$X$20,0)</f>
        <v>0</v>
      </c>
      <c r="AX113" s="154" t="s">
        <v>192</v>
      </c>
      <c r="AY113" s="155" t="s">
        <v>191</v>
      </c>
      <c r="AZ113" s="2">
        <f>IF(AND($AB$30=$F$187,$E$4=$G$189),$AB$59*$AB$20,0)</f>
        <v>0</v>
      </c>
    </row>
    <row r="114" spans="8:52" ht="63" hidden="1" customHeight="1" x14ac:dyDescent="0.25">
      <c r="AI114" s="154" t="s">
        <v>194</v>
      </c>
      <c r="AJ114" s="155" t="s">
        <v>193</v>
      </c>
      <c r="AK114" s="2">
        <f>IF($H$30=$F$187,$H$56*$H$20,0)</f>
        <v>0</v>
      </c>
      <c r="AL114" s="154" t="s">
        <v>194</v>
      </c>
      <c r="AM114" s="155" t="s">
        <v>193</v>
      </c>
      <c r="AN114" s="2">
        <f>IF($L$30=$F$187,$L$56*$L$20,0)</f>
        <v>0</v>
      </c>
      <c r="AO114" s="154" t="s">
        <v>194</v>
      </c>
      <c r="AP114" s="155" t="s">
        <v>193</v>
      </c>
      <c r="AQ114" s="2">
        <f>IF($P$30=$F$187,$P$56*$P$20,0)</f>
        <v>0</v>
      </c>
      <c r="AR114" s="154" t="s">
        <v>194</v>
      </c>
      <c r="AS114" s="155" t="s">
        <v>193</v>
      </c>
      <c r="AT114" s="2">
        <f>IF($T$30=$F$187,$T$56*$T$20,0)</f>
        <v>0</v>
      </c>
      <c r="AU114" s="154" t="s">
        <v>194</v>
      </c>
      <c r="AV114" s="155" t="s">
        <v>193</v>
      </c>
      <c r="AW114" s="2">
        <f>IF($X$30=$F$187,$X$56*$X$20,0)</f>
        <v>0</v>
      </c>
      <c r="AX114" s="154" t="s">
        <v>194</v>
      </c>
      <c r="AY114" s="155" t="s">
        <v>193</v>
      </c>
      <c r="AZ114" s="2">
        <f>IF($AB$30=$F$187,$AB$56*$AB$20,0)</f>
        <v>0</v>
      </c>
    </row>
    <row r="115" spans="8:52" ht="63" hidden="1" customHeight="1" x14ac:dyDescent="0.25">
      <c r="H115" s="119"/>
      <c r="AI115" s="154" t="s">
        <v>196</v>
      </c>
      <c r="AJ115" s="155" t="s">
        <v>195</v>
      </c>
      <c r="AK115" s="2">
        <f>IF($H$30=$F$188,$H$56*$H$20,0)</f>
        <v>0</v>
      </c>
      <c r="AL115" s="154" t="s">
        <v>196</v>
      </c>
      <c r="AM115" s="155" t="s">
        <v>195</v>
      </c>
      <c r="AN115" s="2">
        <f>IF($L$30=$F$188,$L$56*$L$20,0)</f>
        <v>0</v>
      </c>
      <c r="AO115" s="154" t="s">
        <v>196</v>
      </c>
      <c r="AP115" s="155" t="s">
        <v>195</v>
      </c>
      <c r="AQ115" s="2">
        <f>IF($P$30=$F$188,$P$56*$P$20,0)</f>
        <v>0</v>
      </c>
      <c r="AR115" s="154" t="s">
        <v>196</v>
      </c>
      <c r="AS115" s="155" t="s">
        <v>195</v>
      </c>
      <c r="AT115" s="2">
        <f>IF($T$30=$F$188,$T$56*$T$20,0)</f>
        <v>0</v>
      </c>
      <c r="AU115" s="154" t="s">
        <v>196</v>
      </c>
      <c r="AV115" s="155" t="s">
        <v>195</v>
      </c>
      <c r="AW115" s="2">
        <f>IF($X$30=$F$188,$X$56*$X$20,0)</f>
        <v>0</v>
      </c>
      <c r="AX115" s="154" t="s">
        <v>196</v>
      </c>
      <c r="AY115" s="155" t="s">
        <v>195</v>
      </c>
      <c r="AZ115" s="2">
        <f>IF($AB$30=$F$188,$AB$56*$AB$20,0)</f>
        <v>0</v>
      </c>
    </row>
    <row r="116" spans="8:52" ht="63" hidden="1" customHeight="1" x14ac:dyDescent="0.25">
      <c r="H116" s="119"/>
      <c r="N116" s="179"/>
      <c r="T116" s="179"/>
      <c r="U116" s="179"/>
      <c r="V116" s="179"/>
      <c r="W116" s="179"/>
      <c r="X116" s="179"/>
      <c r="Y116" s="179"/>
      <c r="Z116" s="179"/>
      <c r="AA116" s="179"/>
      <c r="AB116" s="179"/>
      <c r="AI116" s="154" t="s">
        <v>198</v>
      </c>
      <c r="AJ116" s="155" t="s">
        <v>197</v>
      </c>
      <c r="AK116" s="2">
        <f>IF($H$30=$F$189,$H$56*$H$20,0)</f>
        <v>0</v>
      </c>
      <c r="AL116" s="154" t="s">
        <v>198</v>
      </c>
      <c r="AM116" s="155" t="s">
        <v>197</v>
      </c>
      <c r="AN116" s="2">
        <f>IF($L$30=$F$189,$L$56*$L$20,0)</f>
        <v>0</v>
      </c>
      <c r="AO116" s="154" t="s">
        <v>198</v>
      </c>
      <c r="AP116" s="155" t="s">
        <v>197</v>
      </c>
      <c r="AQ116" s="2">
        <f>IF($P$30=$F$189,$P$56*$P$20,0)</f>
        <v>0</v>
      </c>
      <c r="AR116" s="154" t="s">
        <v>198</v>
      </c>
      <c r="AS116" s="155" t="s">
        <v>197</v>
      </c>
      <c r="AT116" s="2">
        <f>IF($T$30=$F$189,$T$56*$T$20,0)</f>
        <v>0</v>
      </c>
      <c r="AU116" s="154" t="s">
        <v>198</v>
      </c>
      <c r="AV116" s="155" t="s">
        <v>197</v>
      </c>
      <c r="AW116" s="2">
        <f>IF($X$30=$F$189,$X$56*$X$20,0)</f>
        <v>0</v>
      </c>
      <c r="AX116" s="154" t="s">
        <v>198</v>
      </c>
      <c r="AY116" s="155" t="s">
        <v>197</v>
      </c>
      <c r="AZ116" s="2">
        <f>IF($AB$30=$F$189,$AB$56*$AB$20,0)</f>
        <v>0</v>
      </c>
    </row>
    <row r="117" spans="8:52" ht="63" hidden="1" customHeight="1" x14ac:dyDescent="0.25">
      <c r="H117" s="119"/>
      <c r="AI117" s="154" t="s">
        <v>200</v>
      </c>
      <c r="AJ117" s="155" t="s">
        <v>199</v>
      </c>
      <c r="AK117" s="2">
        <f>IF($H$30=$F$190,$H$56*$H$20,0)</f>
        <v>0</v>
      </c>
      <c r="AL117" s="154" t="s">
        <v>200</v>
      </c>
      <c r="AM117" s="155" t="s">
        <v>199</v>
      </c>
      <c r="AN117" s="2">
        <f>IF($L$30=$F$190,$L$56*$L$20,0)</f>
        <v>0</v>
      </c>
      <c r="AO117" s="154" t="s">
        <v>200</v>
      </c>
      <c r="AP117" s="155" t="s">
        <v>199</v>
      </c>
      <c r="AQ117" s="2">
        <f>IF($P$30=$F$190,$P$56*$P$20,0)</f>
        <v>0</v>
      </c>
      <c r="AR117" s="154" t="s">
        <v>200</v>
      </c>
      <c r="AS117" s="155" t="s">
        <v>199</v>
      </c>
      <c r="AT117" s="2">
        <f>IF($T$30=$F$190,$T$56*$T$20,0)</f>
        <v>0</v>
      </c>
      <c r="AU117" s="154" t="s">
        <v>200</v>
      </c>
      <c r="AV117" s="155" t="s">
        <v>199</v>
      </c>
      <c r="AW117" s="2">
        <f>IF($X$30=$F$190,$X$56*$X$20,0)</f>
        <v>0</v>
      </c>
      <c r="AX117" s="154" t="s">
        <v>200</v>
      </c>
      <c r="AY117" s="155" t="s">
        <v>199</v>
      </c>
      <c r="AZ117" s="2">
        <f>IF($AB$30=$F$190,$AB$56*$AB$20,0)</f>
        <v>0</v>
      </c>
    </row>
    <row r="118" spans="8:52" ht="63" hidden="1" customHeight="1" x14ac:dyDescent="0.25">
      <c r="H118" s="119"/>
      <c r="AI118" s="154" t="s">
        <v>202</v>
      </c>
      <c r="AJ118" s="155" t="s">
        <v>201</v>
      </c>
      <c r="AK118" s="2">
        <f>IF($H$30=$F$187,$H$58*$H$20,0)</f>
        <v>0</v>
      </c>
      <c r="AL118" s="154" t="s">
        <v>202</v>
      </c>
      <c r="AM118" s="155" t="s">
        <v>201</v>
      </c>
      <c r="AN118" s="2">
        <f>IF($L$30=$F$187,$L$58*$L$20,0)</f>
        <v>0</v>
      </c>
      <c r="AO118" s="154" t="s">
        <v>202</v>
      </c>
      <c r="AP118" s="155" t="s">
        <v>201</v>
      </c>
      <c r="AQ118" s="2">
        <f>IF($P$30=$F$187,$P$58*$P$20,0)</f>
        <v>0</v>
      </c>
      <c r="AR118" s="154" t="s">
        <v>202</v>
      </c>
      <c r="AS118" s="155" t="s">
        <v>201</v>
      </c>
      <c r="AT118" s="2">
        <f>IF($T$30=$F$187,$T$58*$T$20,0)</f>
        <v>0</v>
      </c>
      <c r="AU118" s="154" t="s">
        <v>202</v>
      </c>
      <c r="AV118" s="155" t="s">
        <v>201</v>
      </c>
      <c r="AW118" s="2">
        <f>IF($X$30=$F$187,$X$58*$X$20,0)</f>
        <v>0</v>
      </c>
      <c r="AX118" s="154" t="s">
        <v>202</v>
      </c>
      <c r="AY118" s="155" t="s">
        <v>201</v>
      </c>
      <c r="AZ118" s="2">
        <f>IF($AB$30=$F$187,$AB$58*$AB$20,0)</f>
        <v>0</v>
      </c>
    </row>
    <row r="119" spans="8:52" ht="63" hidden="1" customHeight="1" x14ac:dyDescent="0.25">
      <c r="H119" s="119"/>
      <c r="AI119" s="154" t="s">
        <v>204</v>
      </c>
      <c r="AJ119" s="155" t="s">
        <v>203</v>
      </c>
      <c r="AK119" s="2">
        <f>IF($H$30=$F$188,$H$58*$H$20,0)</f>
        <v>0</v>
      </c>
      <c r="AL119" s="154" t="s">
        <v>204</v>
      </c>
      <c r="AM119" s="155" t="s">
        <v>203</v>
      </c>
      <c r="AN119" s="2">
        <f>IF($L$30=$F$188,$L$58*$L$20,0)</f>
        <v>0</v>
      </c>
      <c r="AO119" s="154" t="s">
        <v>204</v>
      </c>
      <c r="AP119" s="155" t="s">
        <v>203</v>
      </c>
      <c r="AQ119" s="2">
        <f>IF($P$30=$F$188,$P$58*$P$20,0)</f>
        <v>0</v>
      </c>
      <c r="AR119" s="154" t="s">
        <v>204</v>
      </c>
      <c r="AS119" s="155" t="s">
        <v>203</v>
      </c>
      <c r="AT119" s="2">
        <f>IF($T$30=$F$188,$T$58*$T$20,0)</f>
        <v>0</v>
      </c>
      <c r="AU119" s="154" t="s">
        <v>204</v>
      </c>
      <c r="AV119" s="155" t="s">
        <v>203</v>
      </c>
      <c r="AW119" s="2">
        <f>IF($X$30=$F$188,$X$58*$X$20,0)</f>
        <v>0</v>
      </c>
      <c r="AX119" s="154" t="s">
        <v>204</v>
      </c>
      <c r="AY119" s="155" t="s">
        <v>203</v>
      </c>
      <c r="AZ119" s="2">
        <f>IF($AB$30=$F$188,$AB$58*$AB$20,0)</f>
        <v>0</v>
      </c>
    </row>
    <row r="120" spans="8:52" ht="63" hidden="1" customHeight="1" x14ac:dyDescent="0.25">
      <c r="H120" s="119"/>
      <c r="AI120" s="154" t="s">
        <v>206</v>
      </c>
      <c r="AJ120" s="155" t="s">
        <v>205</v>
      </c>
      <c r="AK120" s="2">
        <f>IF($H$30=$F$189,$H$58*$H$20,0)</f>
        <v>0</v>
      </c>
      <c r="AL120" s="154" t="s">
        <v>206</v>
      </c>
      <c r="AM120" s="155" t="s">
        <v>205</v>
      </c>
      <c r="AN120" s="2">
        <f>IF($L$30=$F$189,$L$58*$L$20,0)</f>
        <v>0</v>
      </c>
      <c r="AO120" s="154" t="s">
        <v>206</v>
      </c>
      <c r="AP120" s="155" t="s">
        <v>205</v>
      </c>
      <c r="AQ120" s="2">
        <f>IF($P$30=$F$189,$P$58*$P$20,0)</f>
        <v>0</v>
      </c>
      <c r="AR120" s="154" t="s">
        <v>206</v>
      </c>
      <c r="AS120" s="155" t="s">
        <v>205</v>
      </c>
      <c r="AT120" s="2">
        <f>IF($T$30=$F$189,$T$58*$T$20,0)</f>
        <v>0</v>
      </c>
      <c r="AU120" s="154" t="s">
        <v>206</v>
      </c>
      <c r="AV120" s="155" t="s">
        <v>205</v>
      </c>
      <c r="AW120" s="2">
        <f>IF($X$30=$F$189,$X$58*$X$20,0)</f>
        <v>0</v>
      </c>
      <c r="AX120" s="154" t="s">
        <v>206</v>
      </c>
      <c r="AY120" s="155" t="s">
        <v>205</v>
      </c>
      <c r="AZ120" s="2">
        <f>IF($AB$30=$F$189,$AB$58*$AB$20,0)</f>
        <v>0</v>
      </c>
    </row>
    <row r="121" spans="8:52" ht="63" hidden="1" customHeight="1" x14ac:dyDescent="0.25">
      <c r="H121" s="119"/>
      <c r="AI121" s="154" t="s">
        <v>208</v>
      </c>
      <c r="AJ121" s="155" t="s">
        <v>207</v>
      </c>
      <c r="AK121" s="2">
        <f>IF($H$30=$F$190,$H$58*$H$20,0)</f>
        <v>0</v>
      </c>
      <c r="AL121" s="154" t="s">
        <v>208</v>
      </c>
      <c r="AM121" s="155" t="s">
        <v>207</v>
      </c>
      <c r="AN121" s="2">
        <f>IF($L$30=$F$190,$L$58*$L$20,0)</f>
        <v>0</v>
      </c>
      <c r="AO121" s="154" t="s">
        <v>208</v>
      </c>
      <c r="AP121" s="155" t="s">
        <v>207</v>
      </c>
      <c r="AQ121" s="2">
        <f>IF($P$30=$F$190,$P$58*$P$20,0)</f>
        <v>0</v>
      </c>
      <c r="AR121" s="154" t="s">
        <v>208</v>
      </c>
      <c r="AS121" s="155" t="s">
        <v>207</v>
      </c>
      <c r="AT121" s="2">
        <f>IF($T$30=$F$190,$T$58*$T$20,0)</f>
        <v>0</v>
      </c>
      <c r="AU121" s="154" t="s">
        <v>208</v>
      </c>
      <c r="AV121" s="155" t="s">
        <v>207</v>
      </c>
      <c r="AW121" s="2">
        <f>IF($X$30=$F$190,$X$58*$X$20,0)</f>
        <v>0</v>
      </c>
      <c r="AX121" s="154" t="s">
        <v>208</v>
      </c>
      <c r="AY121" s="155" t="s">
        <v>207</v>
      </c>
      <c r="AZ121" s="2">
        <f>IF($AB$30=$F$190,$AB$58*$AB$20,0)</f>
        <v>0</v>
      </c>
    </row>
    <row r="122" spans="8:52" ht="63" hidden="1" customHeight="1" x14ac:dyDescent="0.25">
      <c r="H122" s="119"/>
      <c r="N122" s="179"/>
      <c r="O122" s="179"/>
      <c r="P122" s="179"/>
      <c r="Q122" s="179"/>
      <c r="R122" s="179"/>
      <c r="S122" s="179"/>
      <c r="T122" s="179"/>
      <c r="U122" s="179"/>
      <c r="V122" s="179"/>
      <c r="W122" s="179"/>
      <c r="X122" s="179"/>
      <c r="Y122" s="179"/>
      <c r="Z122" s="179"/>
      <c r="AA122" s="179"/>
      <c r="AB122" s="179"/>
      <c r="AI122" s="154" t="s">
        <v>210</v>
      </c>
      <c r="AJ122" s="155" t="s">
        <v>209</v>
      </c>
      <c r="AK122" s="2">
        <f>IF($H$30=$F$188,$H$60*$H$20,0)</f>
        <v>0</v>
      </c>
      <c r="AL122" s="154" t="s">
        <v>210</v>
      </c>
      <c r="AM122" s="155" t="s">
        <v>209</v>
      </c>
      <c r="AN122" s="2">
        <f>IF($L$30=$F$188,$L$60*$L$20,0)</f>
        <v>0</v>
      </c>
      <c r="AO122" s="154" t="s">
        <v>210</v>
      </c>
      <c r="AP122" s="155" t="s">
        <v>209</v>
      </c>
      <c r="AQ122" s="2">
        <f>IF($P$30=$F$188,$P$60*$P$20,0)</f>
        <v>0</v>
      </c>
      <c r="AR122" s="154" t="s">
        <v>210</v>
      </c>
      <c r="AS122" s="155" t="s">
        <v>209</v>
      </c>
      <c r="AT122" s="2">
        <f>IF($T$30=$F$188,$T$60*$T$20,0)</f>
        <v>0</v>
      </c>
      <c r="AU122" s="154" t="s">
        <v>210</v>
      </c>
      <c r="AV122" s="155" t="s">
        <v>209</v>
      </c>
      <c r="AW122" s="2">
        <f>IF($X$30=$F$188,$X$60*$X$20,0)</f>
        <v>0</v>
      </c>
      <c r="AX122" s="154" t="s">
        <v>210</v>
      </c>
      <c r="AY122" s="155" t="s">
        <v>209</v>
      </c>
      <c r="AZ122" s="2">
        <f>IF($AB$30=$F$188,$AB$60*$AB$20,0)</f>
        <v>0</v>
      </c>
    </row>
    <row r="123" spans="8:52" ht="63" hidden="1" customHeight="1" x14ac:dyDescent="0.25">
      <c r="H123" s="119"/>
      <c r="AI123" s="154" t="s">
        <v>212</v>
      </c>
      <c r="AJ123" s="155" t="s">
        <v>211</v>
      </c>
      <c r="AK123" s="2">
        <f>IF($H$30=$F$189,$H$60*$H$20,0)</f>
        <v>0</v>
      </c>
      <c r="AL123" s="154" t="s">
        <v>212</v>
      </c>
      <c r="AM123" s="155" t="s">
        <v>211</v>
      </c>
      <c r="AN123" s="2">
        <f>IF($L$30=$F$189,$L$60*$L$20,0)</f>
        <v>0</v>
      </c>
      <c r="AO123" s="154" t="s">
        <v>212</v>
      </c>
      <c r="AP123" s="155" t="s">
        <v>211</v>
      </c>
      <c r="AQ123" s="2">
        <f>IF($P$30=$F$189,$P$60*$P$20,0)</f>
        <v>0</v>
      </c>
      <c r="AR123" s="154" t="s">
        <v>212</v>
      </c>
      <c r="AS123" s="155" t="s">
        <v>211</v>
      </c>
      <c r="AT123" s="2">
        <f>IF($T$30=$F$189,$T$60*$T$20,0)</f>
        <v>0</v>
      </c>
      <c r="AU123" s="154" t="s">
        <v>212</v>
      </c>
      <c r="AV123" s="155" t="s">
        <v>211</v>
      </c>
      <c r="AW123" s="2">
        <f>IF($X$30=$F$189,$X$60*$X$20,0)</f>
        <v>0</v>
      </c>
      <c r="AX123" s="154" t="s">
        <v>212</v>
      </c>
      <c r="AY123" s="155" t="s">
        <v>211</v>
      </c>
      <c r="AZ123" s="2">
        <f>IF($AB$30=$F$189,$AB$60*$AB$20,0)</f>
        <v>0</v>
      </c>
    </row>
    <row r="124" spans="8:52" ht="63" hidden="1" customHeight="1" x14ac:dyDescent="0.25">
      <c r="H124" s="119"/>
      <c r="AI124" s="154" t="s">
        <v>214</v>
      </c>
      <c r="AJ124" s="155" t="s">
        <v>213</v>
      </c>
      <c r="AK124" s="2">
        <f>IF($H$30=$F$190,$H$60*$H$20,0)</f>
        <v>0</v>
      </c>
      <c r="AL124" s="154" t="s">
        <v>214</v>
      </c>
      <c r="AM124" s="155" t="s">
        <v>213</v>
      </c>
      <c r="AN124" s="2">
        <f>IF($L$30=$F$190,$L$60*$L$20,0)</f>
        <v>0</v>
      </c>
      <c r="AO124" s="154" t="s">
        <v>214</v>
      </c>
      <c r="AP124" s="155" t="s">
        <v>213</v>
      </c>
      <c r="AQ124" s="2">
        <f>IF($P$30=$F$190,$P$60*$P$20,0)</f>
        <v>0</v>
      </c>
      <c r="AR124" s="154" t="s">
        <v>214</v>
      </c>
      <c r="AS124" s="155" t="s">
        <v>213</v>
      </c>
      <c r="AT124" s="2">
        <f>IF($T$30=$F$190,$T$60*$T$20,0)</f>
        <v>0</v>
      </c>
      <c r="AU124" s="154" t="s">
        <v>214</v>
      </c>
      <c r="AV124" s="155" t="s">
        <v>213</v>
      </c>
      <c r="AW124" s="2">
        <f>IF($X$30=$F$190,$X$60*$X$20,0)</f>
        <v>0</v>
      </c>
      <c r="AX124" s="154" t="s">
        <v>214</v>
      </c>
      <c r="AY124" s="155" t="s">
        <v>213</v>
      </c>
      <c r="AZ124" s="2">
        <f>IF($AB$30=$F$190,$AB$60*$AB$20,0)</f>
        <v>0</v>
      </c>
    </row>
    <row r="125" spans="8:52" ht="63" hidden="1" customHeight="1" x14ac:dyDescent="0.25">
      <c r="H125" s="119"/>
      <c r="AI125" s="154" t="s">
        <v>216</v>
      </c>
      <c r="AJ125" s="155" t="s">
        <v>215</v>
      </c>
      <c r="AK125" s="2">
        <f>IF($E$5=$H$187,$H$62*$H$20,0)</f>
        <v>0</v>
      </c>
      <c r="AL125" s="154" t="s">
        <v>216</v>
      </c>
      <c r="AM125" s="155" t="s">
        <v>215</v>
      </c>
      <c r="AN125" s="2">
        <f>IF($E$5=$H$187,$L$62*$L$20,0)</f>
        <v>0</v>
      </c>
      <c r="AO125" s="154" t="s">
        <v>216</v>
      </c>
      <c r="AP125" s="155" t="s">
        <v>215</v>
      </c>
      <c r="AQ125" s="2">
        <f>IF($E$5=$H$187,$P$62*$P$20,0)</f>
        <v>0</v>
      </c>
      <c r="AR125" s="154" t="s">
        <v>216</v>
      </c>
      <c r="AS125" s="155" t="s">
        <v>215</v>
      </c>
      <c r="AT125" s="2">
        <f>IF($E$5=$H$187,$T$62*$T$20,0)</f>
        <v>0</v>
      </c>
      <c r="AU125" s="154" t="s">
        <v>216</v>
      </c>
      <c r="AV125" s="155" t="s">
        <v>215</v>
      </c>
      <c r="AW125" s="2">
        <f>IF($E$5=$H$187,$X$62*$X$20,0)</f>
        <v>0</v>
      </c>
      <c r="AX125" s="154" t="s">
        <v>216</v>
      </c>
      <c r="AY125" s="155" t="s">
        <v>215</v>
      </c>
      <c r="AZ125" s="2">
        <f>IF($E$5=$H$187,$AB$62*$AB$20,0)</f>
        <v>0</v>
      </c>
    </row>
    <row r="126" spans="8:52" ht="63" hidden="1" customHeight="1" x14ac:dyDescent="0.25">
      <c r="H126" s="119"/>
      <c r="AI126" s="154" t="s">
        <v>219</v>
      </c>
      <c r="AJ126" s="155" t="s">
        <v>218</v>
      </c>
      <c r="AK126" s="2">
        <f>IF($E$5=$H$188,$H$62*$H$20,0)</f>
        <v>0</v>
      </c>
      <c r="AL126" s="154" t="s">
        <v>219</v>
      </c>
      <c r="AM126" s="155" t="s">
        <v>218</v>
      </c>
      <c r="AN126" s="2">
        <f>IF($E$5=$H$188,$L$62*$L$20,0)</f>
        <v>0</v>
      </c>
      <c r="AO126" s="154" t="s">
        <v>219</v>
      </c>
      <c r="AP126" s="155" t="s">
        <v>218</v>
      </c>
      <c r="AQ126" s="2">
        <f>IF($E$5=$H$188,$P$62*$P$20,0)</f>
        <v>0</v>
      </c>
      <c r="AR126" s="154" t="s">
        <v>219</v>
      </c>
      <c r="AS126" s="155" t="s">
        <v>218</v>
      </c>
      <c r="AT126" s="2">
        <f>IF($E$5=$H$188,$T$62*$T$20,0)</f>
        <v>0</v>
      </c>
      <c r="AU126" s="154" t="s">
        <v>219</v>
      </c>
      <c r="AV126" s="155" t="s">
        <v>218</v>
      </c>
      <c r="AW126" s="2">
        <f>IF($E$5=$H$188,$X$62*$X$20,0)</f>
        <v>0</v>
      </c>
      <c r="AX126" s="154" t="s">
        <v>219</v>
      </c>
      <c r="AY126" s="155" t="s">
        <v>218</v>
      </c>
      <c r="AZ126" s="2">
        <f>IF($E$5=$H$188,$AB$62*$AB$20,0)</f>
        <v>0</v>
      </c>
    </row>
    <row r="127" spans="8:52" ht="63" hidden="1" customHeight="1" x14ac:dyDescent="0.25">
      <c r="H127" s="119"/>
      <c r="AI127" s="154" t="s">
        <v>221</v>
      </c>
      <c r="AJ127" s="155" t="s">
        <v>220</v>
      </c>
      <c r="AK127" s="2">
        <f>IF($E$5=$H$189,$H$62*$H$20,0)</f>
        <v>0</v>
      </c>
      <c r="AL127" s="154" t="s">
        <v>221</v>
      </c>
      <c r="AM127" s="155" t="s">
        <v>220</v>
      </c>
      <c r="AN127" s="2">
        <f>IF($E$5=$H$189,$L$62*$L$20,0)</f>
        <v>0</v>
      </c>
      <c r="AO127" s="154" t="s">
        <v>221</v>
      </c>
      <c r="AP127" s="155" t="s">
        <v>220</v>
      </c>
      <c r="AQ127" s="2">
        <f>IF($E$5=$H$189,$P$62*$P$20,0)</f>
        <v>0</v>
      </c>
      <c r="AR127" s="154" t="s">
        <v>221</v>
      </c>
      <c r="AS127" s="155" t="s">
        <v>220</v>
      </c>
      <c r="AT127" s="2">
        <f>IF($E$5=$H$189,$T$62*$T$20,0)</f>
        <v>0</v>
      </c>
      <c r="AU127" s="154" t="s">
        <v>221</v>
      </c>
      <c r="AV127" s="155" t="s">
        <v>220</v>
      </c>
      <c r="AW127" s="2">
        <f>IF($E$5=$H$189,$X$62*$X$20,0)</f>
        <v>0</v>
      </c>
      <c r="AX127" s="154" t="s">
        <v>221</v>
      </c>
      <c r="AY127" s="155" t="s">
        <v>220</v>
      </c>
      <c r="AZ127" s="2">
        <f>IF($E$5=$H$189,$AB$62*$AB$20,0)</f>
        <v>0</v>
      </c>
    </row>
    <row r="128" spans="8:52" ht="63" hidden="1" customHeight="1" x14ac:dyDescent="0.25">
      <c r="H128" s="119"/>
      <c r="AI128" s="154" t="s">
        <v>223</v>
      </c>
      <c r="AJ128" s="155" t="s">
        <v>222</v>
      </c>
      <c r="AK128" s="2">
        <f>IF($E$5=$H$187,$H$63*$H$20,0)</f>
        <v>0</v>
      </c>
      <c r="AL128" s="154" t="s">
        <v>223</v>
      </c>
      <c r="AM128" s="155" t="s">
        <v>222</v>
      </c>
      <c r="AN128" s="2">
        <f>IF($E$5=$H$187,$L$63*$L$20,0)</f>
        <v>0</v>
      </c>
      <c r="AO128" s="154" t="s">
        <v>223</v>
      </c>
      <c r="AP128" s="155" t="s">
        <v>222</v>
      </c>
      <c r="AQ128" s="2">
        <f>IF($E$5=$H$187,$P$63*$P$20,0)</f>
        <v>0</v>
      </c>
      <c r="AR128" s="154" t="s">
        <v>223</v>
      </c>
      <c r="AS128" s="155" t="s">
        <v>222</v>
      </c>
      <c r="AT128" s="2">
        <f>IF($E$5=$H$187,$T$63*$T$20,0)</f>
        <v>0</v>
      </c>
      <c r="AU128" s="154" t="s">
        <v>223</v>
      </c>
      <c r="AV128" s="155" t="s">
        <v>222</v>
      </c>
      <c r="AW128" s="2">
        <f>IF($E$5=$H$187,$X$63*$X$20,0)</f>
        <v>0</v>
      </c>
      <c r="AX128" s="154" t="s">
        <v>223</v>
      </c>
      <c r="AY128" s="155" t="s">
        <v>222</v>
      </c>
      <c r="AZ128" s="2">
        <f>IF($E$5=$H$187,$AB$63*$AB$20,0)</f>
        <v>0</v>
      </c>
    </row>
    <row r="129" spans="8:52" ht="63" hidden="1" customHeight="1" x14ac:dyDescent="0.25">
      <c r="H129" s="119"/>
      <c r="AI129" s="154" t="s">
        <v>225</v>
      </c>
      <c r="AJ129" s="155" t="s">
        <v>224</v>
      </c>
      <c r="AK129" s="2">
        <f>IF($E$5=$H$188,$H$63*$H$20,0)</f>
        <v>0</v>
      </c>
      <c r="AL129" s="154" t="s">
        <v>225</v>
      </c>
      <c r="AM129" s="155" t="s">
        <v>224</v>
      </c>
      <c r="AN129" s="2">
        <f>IF($E$5=$H$188,$L$63*$L$20,0)</f>
        <v>0</v>
      </c>
      <c r="AO129" s="154" t="s">
        <v>225</v>
      </c>
      <c r="AP129" s="155" t="s">
        <v>224</v>
      </c>
      <c r="AQ129" s="2">
        <f>IF($E$5=$H$188,$P$63*$P$20,0)</f>
        <v>0</v>
      </c>
      <c r="AR129" s="154" t="s">
        <v>225</v>
      </c>
      <c r="AS129" s="155" t="s">
        <v>224</v>
      </c>
      <c r="AT129" s="2">
        <f>IF($E$5=$H$188,$T$63*$T$20,0)</f>
        <v>0</v>
      </c>
      <c r="AU129" s="154" t="s">
        <v>225</v>
      </c>
      <c r="AV129" s="155" t="s">
        <v>224</v>
      </c>
      <c r="AW129" s="2">
        <f>IF($E$5=$H$188,$X$63*$X$20,0)</f>
        <v>0</v>
      </c>
      <c r="AX129" s="154" t="s">
        <v>225</v>
      </c>
      <c r="AY129" s="155" t="s">
        <v>224</v>
      </c>
      <c r="AZ129" s="2">
        <f>IF($E$5=$H$188,$AB$63*$AB$20,0)</f>
        <v>0</v>
      </c>
    </row>
    <row r="130" spans="8:52" ht="63" hidden="1" customHeight="1" x14ac:dyDescent="0.25">
      <c r="H130" s="119"/>
      <c r="N130" s="179"/>
      <c r="O130" s="179"/>
      <c r="P130" s="179"/>
      <c r="Q130" s="179"/>
      <c r="R130" s="179"/>
      <c r="S130" s="179"/>
      <c r="T130" s="179"/>
      <c r="U130" s="179"/>
      <c r="V130" s="179"/>
      <c r="W130" s="179"/>
      <c r="X130" s="179"/>
      <c r="Y130" s="179"/>
      <c r="Z130" s="179"/>
      <c r="AA130" s="179"/>
      <c r="AB130" s="179"/>
      <c r="AI130" s="154" t="s">
        <v>227</v>
      </c>
      <c r="AJ130" s="155" t="s">
        <v>226</v>
      </c>
      <c r="AK130" s="2">
        <f>IF($E$5=$H$189,$H$63*$H$20,0)</f>
        <v>0</v>
      </c>
      <c r="AL130" s="154" t="s">
        <v>227</v>
      </c>
      <c r="AM130" s="155" t="s">
        <v>226</v>
      </c>
      <c r="AN130" s="2">
        <f>IF($E$5=$H$189,$L$63*$L$20,0)</f>
        <v>0</v>
      </c>
      <c r="AO130" s="154" t="s">
        <v>227</v>
      </c>
      <c r="AP130" s="155" t="s">
        <v>226</v>
      </c>
      <c r="AQ130" s="2">
        <f>IF($E$5=$H$189,$P$63*$P$20,0)</f>
        <v>0</v>
      </c>
      <c r="AR130" s="154" t="s">
        <v>227</v>
      </c>
      <c r="AS130" s="155" t="s">
        <v>226</v>
      </c>
      <c r="AT130" s="2">
        <f>IF($E$5=$H$189,$T$63*$T$20,0)</f>
        <v>0</v>
      </c>
      <c r="AU130" s="154" t="s">
        <v>227</v>
      </c>
      <c r="AV130" s="155" t="s">
        <v>226</v>
      </c>
      <c r="AW130" s="2">
        <f>IF($E$5=$H$189,$X$63*$X$20,0)</f>
        <v>0</v>
      </c>
      <c r="AX130" s="154" t="s">
        <v>227</v>
      </c>
      <c r="AY130" s="155" t="s">
        <v>226</v>
      </c>
      <c r="AZ130" s="2">
        <f>IF($E$5=$H$189,$AB$63*$AB$20,0)</f>
        <v>0</v>
      </c>
    </row>
    <row r="131" spans="8:52" ht="63" hidden="1" customHeight="1" x14ac:dyDescent="0.25">
      <c r="H131" s="119"/>
      <c r="AI131" s="154" t="s">
        <v>229</v>
      </c>
      <c r="AJ131" s="155" t="s">
        <v>228</v>
      </c>
      <c r="AK131" s="2">
        <f>IF(AND($E$4=$G$187,$E$5=$H$187),$H$64*$H$20,0)</f>
        <v>0</v>
      </c>
      <c r="AL131" s="154" t="s">
        <v>229</v>
      </c>
      <c r="AM131" s="155" t="s">
        <v>228</v>
      </c>
      <c r="AN131" s="2">
        <f>IF(AND($E$4=$G$187,$E$5=$H$187),$L$64*$L$20,0)</f>
        <v>0</v>
      </c>
      <c r="AO131" s="154" t="s">
        <v>229</v>
      </c>
      <c r="AP131" s="155" t="s">
        <v>228</v>
      </c>
      <c r="AQ131" s="2">
        <f>IF(AND($E$4=$G$187,$E$5=$H$187),$P$64*$P$20,0)</f>
        <v>0</v>
      </c>
      <c r="AR131" s="154" t="s">
        <v>229</v>
      </c>
      <c r="AS131" s="155" t="s">
        <v>228</v>
      </c>
      <c r="AT131" s="2">
        <f>IF(AND($E$4=$G$187,$E$5=$H$187),$T$64*$T$20,0)</f>
        <v>0</v>
      </c>
      <c r="AU131" s="154" t="s">
        <v>229</v>
      </c>
      <c r="AV131" s="155" t="s">
        <v>228</v>
      </c>
      <c r="AW131" s="2">
        <f>IF(AND($E$4=$G$187,$E$5=$H$187),$X$64*$X$20,0)</f>
        <v>0</v>
      </c>
      <c r="AX131" s="154" t="s">
        <v>229</v>
      </c>
      <c r="AY131" s="155" t="s">
        <v>228</v>
      </c>
      <c r="AZ131" s="2">
        <f>IF(AND($E$4=$G$187,$E$5=$H$187),$AB$64*$AB$20,0)</f>
        <v>0</v>
      </c>
    </row>
    <row r="132" spans="8:52" ht="63" hidden="1" customHeight="1" x14ac:dyDescent="0.25">
      <c r="H132" s="119"/>
      <c r="AI132" s="154" t="s">
        <v>231</v>
      </c>
      <c r="AJ132" s="155" t="s">
        <v>230</v>
      </c>
      <c r="AK132" s="2">
        <f>IF(AND($E$4=$G$187,$E$5=$H$188),$H$64*$H$20,0)</f>
        <v>0</v>
      </c>
      <c r="AL132" s="154" t="s">
        <v>231</v>
      </c>
      <c r="AM132" s="155" t="s">
        <v>230</v>
      </c>
      <c r="AN132" s="2">
        <f>IF(AND($E$4=$G$187,$E$5=$H$188),$L$64*$L$20,0)</f>
        <v>0</v>
      </c>
      <c r="AO132" s="154" t="s">
        <v>231</v>
      </c>
      <c r="AP132" s="155" t="s">
        <v>230</v>
      </c>
      <c r="AQ132" s="2">
        <f>IF(AND($E$4=$G$187,$E$5=$H$188),$P$64*$P$20,0)</f>
        <v>0</v>
      </c>
      <c r="AR132" s="154" t="s">
        <v>231</v>
      </c>
      <c r="AS132" s="155" t="s">
        <v>230</v>
      </c>
      <c r="AT132" s="2">
        <f>IF(AND($E$4=$G$187,$E$5=$H$188),$T$64*$T$20,0)</f>
        <v>0</v>
      </c>
      <c r="AU132" s="154" t="s">
        <v>231</v>
      </c>
      <c r="AV132" s="155" t="s">
        <v>230</v>
      </c>
      <c r="AW132" s="2">
        <f>IF(AND($E$4=$G$187,$E$5=$H$188),$X$64*$X$20,0)</f>
        <v>0</v>
      </c>
      <c r="AX132" s="154" t="s">
        <v>231</v>
      </c>
      <c r="AY132" s="155" t="s">
        <v>230</v>
      </c>
      <c r="AZ132" s="2">
        <f>IF(AND($E$4=$G$187,$E$5=$H$188),$AB$64*$AB$20,0)</f>
        <v>0</v>
      </c>
    </row>
    <row r="133" spans="8:52" ht="63" hidden="1" customHeight="1" x14ac:dyDescent="0.25">
      <c r="H133" s="119"/>
      <c r="AI133" s="154" t="s">
        <v>233</v>
      </c>
      <c r="AJ133" s="155" t="s">
        <v>232</v>
      </c>
      <c r="AK133" s="2">
        <f>IF(AND($E$4=$G$187,$E$5=$H$189),$H$64*$H$20,0)</f>
        <v>0</v>
      </c>
      <c r="AL133" s="154" t="s">
        <v>233</v>
      </c>
      <c r="AM133" s="155" t="s">
        <v>232</v>
      </c>
      <c r="AN133" s="2">
        <f>IF(AND($E$4=$G$187,$E$5=$H$189),$L$64*$L$20,0)</f>
        <v>0</v>
      </c>
      <c r="AO133" s="154" t="s">
        <v>233</v>
      </c>
      <c r="AP133" s="155" t="s">
        <v>232</v>
      </c>
      <c r="AQ133" s="2">
        <f>IF(AND($E$4=$G$187,$E$5=$H$189),$P$64*$P$20,0)</f>
        <v>0</v>
      </c>
      <c r="AR133" s="154" t="s">
        <v>233</v>
      </c>
      <c r="AS133" s="155" t="s">
        <v>232</v>
      </c>
      <c r="AT133" s="2">
        <f>IF(AND($E$4=$G$187,$E$5=$H$189),$T$64*$T$20,0)</f>
        <v>0</v>
      </c>
      <c r="AU133" s="154" t="s">
        <v>233</v>
      </c>
      <c r="AV133" s="155" t="s">
        <v>232</v>
      </c>
      <c r="AW133" s="2">
        <f>IF(AND($E$4=$G$187,$E$5=$H$189),$X$64*$X$20,0)</f>
        <v>0</v>
      </c>
      <c r="AX133" s="154" t="s">
        <v>233</v>
      </c>
      <c r="AY133" s="155" t="s">
        <v>232</v>
      </c>
      <c r="AZ133" s="2">
        <f>IF(AND($E$4=$G$187,$E$5=$H$189),$AB$64*$AB$20,0)</f>
        <v>0</v>
      </c>
    </row>
    <row r="134" spans="8:52" ht="63" hidden="1" customHeight="1" x14ac:dyDescent="0.25">
      <c r="H134" s="119"/>
      <c r="AI134" s="154" t="s">
        <v>235</v>
      </c>
      <c r="AJ134" s="155" t="s">
        <v>234</v>
      </c>
      <c r="AK134" s="2">
        <f>IF(AND($E$4=$G$188,$E$5=$H$187),$H$64*$H$20,0)</f>
        <v>0</v>
      </c>
      <c r="AL134" s="154" t="s">
        <v>235</v>
      </c>
      <c r="AM134" s="155" t="s">
        <v>234</v>
      </c>
      <c r="AN134" s="2">
        <f>IF(AND($E$4=$G$188,$E$5=$H$187),$L$64*$L$20,0)</f>
        <v>0</v>
      </c>
      <c r="AO134" s="154" t="s">
        <v>235</v>
      </c>
      <c r="AP134" s="155" t="s">
        <v>234</v>
      </c>
      <c r="AQ134" s="2">
        <f>IF(AND($E$4=$G$188,$E$5=$H$187),$P$64*$P$20,0)</f>
        <v>0</v>
      </c>
      <c r="AR134" s="154" t="s">
        <v>235</v>
      </c>
      <c r="AS134" s="155" t="s">
        <v>234</v>
      </c>
      <c r="AT134" s="2">
        <f>IF(AND($E$4=$G$188,$E$5=$H$187),$T$64*$T$20,0)</f>
        <v>0</v>
      </c>
      <c r="AU134" s="154" t="s">
        <v>235</v>
      </c>
      <c r="AV134" s="155" t="s">
        <v>234</v>
      </c>
      <c r="AW134" s="2">
        <f>IF(AND($E$4=$G$188,$E$5=$H$187),$X$64*$X$20,0)</f>
        <v>0</v>
      </c>
      <c r="AX134" s="154" t="s">
        <v>235</v>
      </c>
      <c r="AY134" s="155" t="s">
        <v>234</v>
      </c>
      <c r="AZ134" s="2">
        <f>IF(AND($E$4=$G$188,$E$5=$H$187),$AB$64*$AB$20,0)</f>
        <v>0</v>
      </c>
    </row>
    <row r="135" spans="8:52" ht="63" hidden="1" customHeight="1" x14ac:dyDescent="0.25">
      <c r="H135" s="119"/>
      <c r="AI135" s="154" t="s">
        <v>237</v>
      </c>
      <c r="AJ135" s="155" t="s">
        <v>236</v>
      </c>
      <c r="AK135" s="2">
        <f>IF(AND($E$4=$G$188,$E$5=$H$188),$H$64*$H$20,0)</f>
        <v>0</v>
      </c>
      <c r="AL135" s="154" t="s">
        <v>237</v>
      </c>
      <c r="AM135" s="155" t="s">
        <v>236</v>
      </c>
      <c r="AN135" s="2">
        <f>IF(AND($E$4=$G$188,$E$5=$H$188),$L$64*$L$20,0)</f>
        <v>0</v>
      </c>
      <c r="AO135" s="154" t="s">
        <v>237</v>
      </c>
      <c r="AP135" s="155" t="s">
        <v>236</v>
      </c>
      <c r="AQ135" s="2">
        <f>IF(AND($E$4=$G$188,$E$5=$H$188),$P$64*$P$20,0)</f>
        <v>0</v>
      </c>
      <c r="AR135" s="154" t="s">
        <v>237</v>
      </c>
      <c r="AS135" s="155" t="s">
        <v>236</v>
      </c>
      <c r="AT135" s="2">
        <f>IF(AND($E$4=$G$188,$E$5=$H$188),$T$64*$T$20,0)</f>
        <v>0</v>
      </c>
      <c r="AU135" s="154" t="s">
        <v>237</v>
      </c>
      <c r="AV135" s="155" t="s">
        <v>236</v>
      </c>
      <c r="AW135" s="2">
        <f>IF(AND($E$4=$G$188,$E$5=$H$188),$X$64*$X$20,0)</f>
        <v>0</v>
      </c>
      <c r="AX135" s="154" t="s">
        <v>237</v>
      </c>
      <c r="AY135" s="155" t="s">
        <v>236</v>
      </c>
      <c r="AZ135" s="2">
        <f>IF(AND($E$4=$G$188,$E$5=$H$188),$AB$64*$AB$20,0)</f>
        <v>0</v>
      </c>
    </row>
    <row r="136" spans="8:52" ht="63" hidden="1" customHeight="1" x14ac:dyDescent="0.25">
      <c r="H136" s="119"/>
      <c r="AI136" s="154" t="s">
        <v>239</v>
      </c>
      <c r="AJ136" s="155" t="s">
        <v>238</v>
      </c>
      <c r="AK136" s="2">
        <f>IF(AND($E$4=$G$188,$E$5=$H$189),$H$64*$H$20,0)</f>
        <v>0</v>
      </c>
      <c r="AL136" s="154" t="s">
        <v>239</v>
      </c>
      <c r="AM136" s="155" t="s">
        <v>238</v>
      </c>
      <c r="AN136" s="2">
        <f>IF(AND($E$4=$G$188,$E$5=$H$189),$L$64*$L$20,0)</f>
        <v>0</v>
      </c>
      <c r="AO136" s="154" t="s">
        <v>239</v>
      </c>
      <c r="AP136" s="155" t="s">
        <v>238</v>
      </c>
      <c r="AQ136" s="2">
        <f>IF(AND($E$4=$G$188,$E$5=$H$189),$P$64*$P$20,0)</f>
        <v>0</v>
      </c>
      <c r="AR136" s="154" t="s">
        <v>239</v>
      </c>
      <c r="AS136" s="155" t="s">
        <v>238</v>
      </c>
      <c r="AT136" s="2">
        <f>IF(AND($E$4=$G$188,$E$5=$H$189),$T$64*$T$20,0)</f>
        <v>0</v>
      </c>
      <c r="AU136" s="154" t="s">
        <v>239</v>
      </c>
      <c r="AV136" s="155" t="s">
        <v>238</v>
      </c>
      <c r="AW136" s="2">
        <f>IF(AND($E$4=$G$188,$E$5=$H$189),$X$64*$X$20,0)</f>
        <v>0</v>
      </c>
      <c r="AX136" s="154" t="s">
        <v>239</v>
      </c>
      <c r="AY136" s="155" t="s">
        <v>238</v>
      </c>
      <c r="AZ136" s="2">
        <f>IF(AND($E$4=$G$188,$E$5=$H$189),$AB$64*$AB$20,0)</f>
        <v>0</v>
      </c>
    </row>
    <row r="137" spans="8:52" ht="63" hidden="1" customHeight="1" x14ac:dyDescent="0.25">
      <c r="H137" s="119"/>
      <c r="AI137" s="154" t="s">
        <v>241</v>
      </c>
      <c r="AJ137" s="155" t="s">
        <v>240</v>
      </c>
      <c r="AK137" s="2">
        <f>IF(AND($E$4=$G$189,$E$5=$H$187),$H$64*$H$20,0)</f>
        <v>0</v>
      </c>
      <c r="AL137" s="154" t="s">
        <v>241</v>
      </c>
      <c r="AM137" s="155" t="s">
        <v>240</v>
      </c>
      <c r="AN137" s="2">
        <f>IF(AND($E$4=$G$189,$E$5=$H$187),$L$64*$L$20,0)</f>
        <v>0</v>
      </c>
      <c r="AO137" s="154" t="s">
        <v>241</v>
      </c>
      <c r="AP137" s="155" t="s">
        <v>240</v>
      </c>
      <c r="AQ137" s="2">
        <f>IF(AND($E$4=$G$189,$E$5=$H$187),$P$64*$P$20,0)</f>
        <v>0</v>
      </c>
      <c r="AR137" s="154" t="s">
        <v>241</v>
      </c>
      <c r="AS137" s="155" t="s">
        <v>240</v>
      </c>
      <c r="AT137" s="2">
        <f>IF(AND($E$4=$G$189,$E$5=$H$187),$T$64*$T$20,0)</f>
        <v>0</v>
      </c>
      <c r="AU137" s="154" t="s">
        <v>241</v>
      </c>
      <c r="AV137" s="155" t="s">
        <v>240</v>
      </c>
      <c r="AW137" s="2">
        <f>IF(AND($E$4=$G$189,$E$5=$H$187),$X$64*$X$20,0)</f>
        <v>0</v>
      </c>
      <c r="AX137" s="154" t="s">
        <v>241</v>
      </c>
      <c r="AY137" s="155" t="s">
        <v>240</v>
      </c>
      <c r="AZ137" s="2">
        <f>IF(AND($E$4=$G$189,$E$5=$H$187),$AB$64*$AB$20,0)</f>
        <v>0</v>
      </c>
    </row>
    <row r="138" spans="8:52" ht="63" hidden="1" customHeight="1" x14ac:dyDescent="0.25">
      <c r="H138" s="119"/>
      <c r="AI138" s="154" t="s">
        <v>243</v>
      </c>
      <c r="AJ138" s="155" t="s">
        <v>242</v>
      </c>
      <c r="AK138" s="2">
        <f>IF(AND($E$4=$G$189,$E$5=$H$188),$H$64*$H$20,0)</f>
        <v>0</v>
      </c>
      <c r="AL138" s="154" t="s">
        <v>243</v>
      </c>
      <c r="AM138" s="155" t="s">
        <v>242</v>
      </c>
      <c r="AN138" s="2">
        <f>IF(AND($E$4=$G$189,$E$5=$H$188),$L$64*$L$20,0)</f>
        <v>0</v>
      </c>
      <c r="AO138" s="154" t="s">
        <v>243</v>
      </c>
      <c r="AP138" s="155" t="s">
        <v>242</v>
      </c>
      <c r="AQ138" s="2">
        <f>IF(AND($E$4=$G$189,$E$5=$H$188),$P$64*$P$20,0)</f>
        <v>0</v>
      </c>
      <c r="AR138" s="154" t="s">
        <v>243</v>
      </c>
      <c r="AS138" s="155" t="s">
        <v>242</v>
      </c>
      <c r="AT138" s="2">
        <f>IF(AND($E$4=$G$189,$E$5=$H$188),$T$64*$T$20,0)</f>
        <v>0</v>
      </c>
      <c r="AU138" s="154" t="s">
        <v>243</v>
      </c>
      <c r="AV138" s="155" t="s">
        <v>242</v>
      </c>
      <c r="AW138" s="2">
        <f>IF(AND($E$4=$G$189,$E$5=$H$188),$X$64*$X$20,0)</f>
        <v>0</v>
      </c>
      <c r="AX138" s="154" t="s">
        <v>243</v>
      </c>
      <c r="AY138" s="155" t="s">
        <v>242</v>
      </c>
      <c r="AZ138" s="2">
        <f>IF(AND($E$4=$G$189,$E$5=$H$188),$AB$64*$AB$20,0)</f>
        <v>0</v>
      </c>
    </row>
    <row r="139" spans="8:52" ht="63" hidden="1" customHeight="1" x14ac:dyDescent="0.25">
      <c r="H139" s="119"/>
      <c r="AI139" s="154" t="s">
        <v>245</v>
      </c>
      <c r="AJ139" s="155" t="s">
        <v>244</v>
      </c>
      <c r="AK139" s="2">
        <f>IF(AND($E$4=$G$189,$E$5=$H$189),$H$64*$H$20,0)</f>
        <v>0</v>
      </c>
      <c r="AL139" s="154" t="s">
        <v>245</v>
      </c>
      <c r="AM139" s="155" t="s">
        <v>244</v>
      </c>
      <c r="AN139" s="2">
        <f>IF(AND($E$4=$G$189,$E$5=$H$189),$L$64*$L$20,0)</f>
        <v>0</v>
      </c>
      <c r="AO139" s="154" t="s">
        <v>245</v>
      </c>
      <c r="AP139" s="155" t="s">
        <v>244</v>
      </c>
      <c r="AQ139" s="2">
        <f>IF(AND($E$4=$G$189,$E$5=$H$189),$P$64*$P$20,0)</f>
        <v>0</v>
      </c>
      <c r="AR139" s="154" t="s">
        <v>245</v>
      </c>
      <c r="AS139" s="155" t="s">
        <v>244</v>
      </c>
      <c r="AT139" s="2">
        <f>IF(AND($E$4=$G$189,$E$5=$H$189),$T$64*$T$20,0)</f>
        <v>0</v>
      </c>
      <c r="AU139" s="154" t="s">
        <v>245</v>
      </c>
      <c r="AV139" s="155" t="s">
        <v>244</v>
      </c>
      <c r="AW139" s="2">
        <f>IF(AND($E$4=$G$189,$E$5=$H$189),$X$64*$X$20,0)</f>
        <v>0</v>
      </c>
      <c r="AX139" s="154" t="s">
        <v>245</v>
      </c>
      <c r="AY139" s="155" t="s">
        <v>244</v>
      </c>
      <c r="AZ139" s="2">
        <f>IF(AND($E$4=$G$189,$E$5=$H$189),$AB$64*$AB$20,0)</f>
        <v>0</v>
      </c>
    </row>
    <row r="140" spans="8:52" ht="63" hidden="1" customHeight="1" x14ac:dyDescent="0.25">
      <c r="H140" s="119"/>
      <c r="AI140" s="154" t="s">
        <v>247</v>
      </c>
      <c r="AJ140" s="155" t="s">
        <v>246</v>
      </c>
      <c r="AK140" s="2">
        <f>IF(AND($H$30=$F$188,$E$5=$H$187),$H$65*$H$20,0)</f>
        <v>0</v>
      </c>
      <c r="AL140" s="154" t="s">
        <v>247</v>
      </c>
      <c r="AM140" s="155" t="s">
        <v>246</v>
      </c>
      <c r="AN140" s="2">
        <f>IF(AND($L$30=$F$188,$E$5=$H$187),$L$65*$L$20,0)</f>
        <v>0</v>
      </c>
      <c r="AO140" s="154" t="s">
        <v>247</v>
      </c>
      <c r="AP140" s="155" t="s">
        <v>246</v>
      </c>
      <c r="AQ140" s="2">
        <f>IF(AND($P$30=$F$188,$E$5=$H$187),$P$65*$P$20,0)</f>
        <v>0</v>
      </c>
      <c r="AR140" s="154" t="s">
        <v>247</v>
      </c>
      <c r="AS140" s="155" t="s">
        <v>246</v>
      </c>
      <c r="AT140" s="2">
        <f>IF(AND($T$30=$F$188,$E$5=$H$187),$T$65*$T$20,0)</f>
        <v>0</v>
      </c>
      <c r="AU140" s="154" t="s">
        <v>247</v>
      </c>
      <c r="AV140" s="155" t="s">
        <v>246</v>
      </c>
      <c r="AW140" s="2">
        <f>IF(AND($X$30=$F$188,$E$5=$H$187),$X$65*$X$20,0)</f>
        <v>0</v>
      </c>
      <c r="AX140" s="154" t="s">
        <v>247</v>
      </c>
      <c r="AY140" s="155" t="s">
        <v>246</v>
      </c>
      <c r="AZ140" s="2">
        <f>IF(AND($AB$30=$F$188,$E$5=$H$187),$AB$65*$AB$20,0)</f>
        <v>0</v>
      </c>
    </row>
    <row r="141" spans="8:52" ht="63" hidden="1" customHeight="1" x14ac:dyDescent="0.25">
      <c r="H141" s="119"/>
      <c r="AI141" s="154" t="s">
        <v>249</v>
      </c>
      <c r="AJ141" s="155" t="s">
        <v>248</v>
      </c>
      <c r="AK141" s="2">
        <f>IF(AND($H$30=$F$188,$E$5=$H$188),$H$65*$H$20,0)</f>
        <v>0</v>
      </c>
      <c r="AL141" s="154" t="s">
        <v>249</v>
      </c>
      <c r="AM141" s="155" t="s">
        <v>248</v>
      </c>
      <c r="AN141" s="2">
        <f>IF(AND($L$30=$F$188,$E$5=$H$188),$L$65*$L$20,0)</f>
        <v>0</v>
      </c>
      <c r="AO141" s="154" t="s">
        <v>249</v>
      </c>
      <c r="AP141" s="155" t="s">
        <v>248</v>
      </c>
      <c r="AQ141" s="2">
        <f>IF(AND($P$30=$F$188,$E$5=$H$188),$P$65*$P$20,0)</f>
        <v>0</v>
      </c>
      <c r="AR141" s="154" t="s">
        <v>249</v>
      </c>
      <c r="AS141" s="155" t="s">
        <v>248</v>
      </c>
      <c r="AT141" s="2">
        <f>IF(AND($T$30=$F$188,$E$5=$H$188),$T$65*$T$20,0)</f>
        <v>0</v>
      </c>
      <c r="AU141" s="154" t="s">
        <v>249</v>
      </c>
      <c r="AV141" s="155" t="s">
        <v>248</v>
      </c>
      <c r="AW141" s="2">
        <f>IF(AND($X$30=$F$188,$E$5=$H$188),$X$65*$X$20,0)</f>
        <v>0</v>
      </c>
      <c r="AX141" s="154" t="s">
        <v>249</v>
      </c>
      <c r="AY141" s="155" t="s">
        <v>248</v>
      </c>
      <c r="AZ141" s="2">
        <f>IF(AND($AB$30=$F$188,$E$5=$H$188),$AB$65*$AB$20,0)</f>
        <v>0</v>
      </c>
    </row>
    <row r="142" spans="8:52" ht="63" hidden="1" customHeight="1" x14ac:dyDescent="0.25">
      <c r="H142" s="119"/>
      <c r="AI142" s="154" t="s">
        <v>251</v>
      </c>
      <c r="AJ142" s="155" t="s">
        <v>250</v>
      </c>
      <c r="AK142" s="2">
        <f>IF(AND($H$30=$F$188,$E$5=$H$189),$H$65*$H$20,0)</f>
        <v>0</v>
      </c>
      <c r="AL142" s="154" t="s">
        <v>251</v>
      </c>
      <c r="AM142" s="155" t="s">
        <v>250</v>
      </c>
      <c r="AN142" s="2">
        <f>IF(AND($L$30=$F$188,$E$5=$H$189),$L$65*$L$20,0)</f>
        <v>0</v>
      </c>
      <c r="AO142" s="154" t="s">
        <v>251</v>
      </c>
      <c r="AP142" s="155" t="s">
        <v>250</v>
      </c>
      <c r="AQ142" s="2">
        <f>IF(AND($P$30=$F$188,$E$5=$H$189),$P$65*$P$20,0)</f>
        <v>0</v>
      </c>
      <c r="AR142" s="154" t="s">
        <v>251</v>
      </c>
      <c r="AS142" s="155" t="s">
        <v>250</v>
      </c>
      <c r="AT142" s="2">
        <f>IF(AND($T$30=$F$188,$E$5=$H$189),$T$65*$T$20,0)</f>
        <v>0</v>
      </c>
      <c r="AU142" s="154" t="s">
        <v>251</v>
      </c>
      <c r="AV142" s="155" t="s">
        <v>250</v>
      </c>
      <c r="AW142" s="2">
        <f>IF(AND($X$30=$F$188,$E$5=$H$189),$X$65*$X$20,0)</f>
        <v>0</v>
      </c>
      <c r="AX142" s="154" t="s">
        <v>251</v>
      </c>
      <c r="AY142" s="155" t="s">
        <v>250</v>
      </c>
      <c r="AZ142" s="2">
        <f>IF(AND($AB$30=$F$188,$E$5=$H$189),$AB$65*$AB$20,0)</f>
        <v>0</v>
      </c>
    </row>
    <row r="143" spans="8:52" ht="63" hidden="1" customHeight="1" x14ac:dyDescent="0.25">
      <c r="H143" s="119"/>
      <c r="AI143" s="154" t="s">
        <v>253</v>
      </c>
      <c r="AJ143" s="155" t="s">
        <v>252</v>
      </c>
      <c r="AK143" s="2">
        <f>IF(AND($H$30=$F$189,$E$5=$H$187),$H$65*$H$20,0)</f>
        <v>0</v>
      </c>
      <c r="AL143" s="154" t="s">
        <v>253</v>
      </c>
      <c r="AM143" s="155" t="s">
        <v>252</v>
      </c>
      <c r="AN143" s="2">
        <f>IF(AND($L$30=$F$189,$E$5=$H$187),$L$65*$L$20,0)</f>
        <v>0</v>
      </c>
      <c r="AO143" s="154" t="s">
        <v>253</v>
      </c>
      <c r="AP143" s="155" t="s">
        <v>252</v>
      </c>
      <c r="AQ143" s="2">
        <f>IF(AND($P$30=$F$189,$E$5=$H$187),$P$65*$P$20,0)</f>
        <v>0</v>
      </c>
      <c r="AR143" s="154" t="s">
        <v>253</v>
      </c>
      <c r="AS143" s="155" t="s">
        <v>252</v>
      </c>
      <c r="AT143" s="2">
        <f>IF(AND($T$30=$F$189,$E$5=$H$187),$T$65*$T$20,0)</f>
        <v>0</v>
      </c>
      <c r="AU143" s="154" t="s">
        <v>253</v>
      </c>
      <c r="AV143" s="155" t="s">
        <v>252</v>
      </c>
      <c r="AW143" s="2">
        <f>IF(AND($X$30=$F$189,$E$5=$H$187),$X$65*$X$20,0)</f>
        <v>0</v>
      </c>
      <c r="AX143" s="154" t="s">
        <v>253</v>
      </c>
      <c r="AY143" s="155" t="s">
        <v>252</v>
      </c>
      <c r="AZ143" s="2">
        <f>IF(AND($AB$30=$F$189,$E$5=$H$187),$AB$65*$AB$20,0)</f>
        <v>0</v>
      </c>
    </row>
    <row r="144" spans="8:52" ht="63" hidden="1" customHeight="1" x14ac:dyDescent="0.25">
      <c r="H144" s="119"/>
      <c r="AI144" s="154" t="s">
        <v>255</v>
      </c>
      <c r="AJ144" s="155" t="s">
        <v>254</v>
      </c>
      <c r="AK144" s="2">
        <f>IF(AND($H$30=$F$189,$E$5=$H$188),$H$65*$H$20,0)</f>
        <v>0</v>
      </c>
      <c r="AL144" s="154" t="s">
        <v>255</v>
      </c>
      <c r="AM144" s="155" t="s">
        <v>254</v>
      </c>
      <c r="AN144" s="2">
        <f>IF(AND($L$30=$F$189,$E$5=$H$188),$L$65*$L$20,0)</f>
        <v>0</v>
      </c>
      <c r="AO144" s="154" t="s">
        <v>255</v>
      </c>
      <c r="AP144" s="155" t="s">
        <v>254</v>
      </c>
      <c r="AQ144" s="2">
        <f>IF(AND($P$30=$F$189,$E$5=$H$188),$P$65*$P$20,0)</f>
        <v>0</v>
      </c>
      <c r="AR144" s="154" t="s">
        <v>255</v>
      </c>
      <c r="AS144" s="155" t="s">
        <v>254</v>
      </c>
      <c r="AT144" s="2">
        <f>IF(AND($T$30=$F$189,$E$5=$H$188),$T$65*$T$20,0)</f>
        <v>0</v>
      </c>
      <c r="AU144" s="154" t="s">
        <v>255</v>
      </c>
      <c r="AV144" s="155" t="s">
        <v>254</v>
      </c>
      <c r="AW144" s="2">
        <f>IF(AND($X$30=$F$189,$E$5=$H$188),$X$65*$X$20,0)</f>
        <v>0</v>
      </c>
      <c r="AX144" s="154" t="s">
        <v>255</v>
      </c>
      <c r="AY144" s="155" t="s">
        <v>254</v>
      </c>
      <c r="AZ144" s="2">
        <f>IF(AND($AB$30=$F$189,$E$5=$H$188),$AB$65*$AB$20,0)</f>
        <v>0</v>
      </c>
    </row>
    <row r="145" spans="1:56" ht="63" hidden="1" customHeight="1" x14ac:dyDescent="0.25">
      <c r="H145" s="119"/>
      <c r="AI145" s="154" t="s">
        <v>257</v>
      </c>
      <c r="AJ145" s="155" t="s">
        <v>256</v>
      </c>
      <c r="AK145" s="2">
        <f>IF(AND($H$30=$F$189,$E$5=$H$189),$H$65*$H$20,0)</f>
        <v>0</v>
      </c>
      <c r="AL145" s="154" t="s">
        <v>257</v>
      </c>
      <c r="AM145" s="155" t="s">
        <v>256</v>
      </c>
      <c r="AN145" s="2">
        <f>IF(AND($L$30=$F$189,$E$5=$H$189),$L$65*$L$20,0)</f>
        <v>0</v>
      </c>
      <c r="AO145" s="154" t="s">
        <v>257</v>
      </c>
      <c r="AP145" s="155" t="s">
        <v>256</v>
      </c>
      <c r="AQ145" s="2">
        <f>IF(AND($P$30=$F$189,$E$5=$H$189),$P$65*$P$20,0)</f>
        <v>0</v>
      </c>
      <c r="AR145" s="154" t="s">
        <v>257</v>
      </c>
      <c r="AS145" s="155" t="s">
        <v>256</v>
      </c>
      <c r="AT145" s="2">
        <f>IF(AND($T$30=$F$189,$E$5=$H$189),$T$65*$T$20,0)</f>
        <v>0</v>
      </c>
      <c r="AU145" s="154" t="s">
        <v>257</v>
      </c>
      <c r="AV145" s="155" t="s">
        <v>256</v>
      </c>
      <c r="AW145" s="2">
        <f>IF(AND($X$30=$F$189,$E$5=$H$189),$X$65*$X$20,0)</f>
        <v>0</v>
      </c>
      <c r="AX145" s="154" t="s">
        <v>257</v>
      </c>
      <c r="AY145" s="155" t="s">
        <v>256</v>
      </c>
      <c r="AZ145" s="2">
        <f>IF(AND($AB$30=$F$189,$E$5=$H$189),$AB$65*$AB$20,0)</f>
        <v>0</v>
      </c>
    </row>
    <row r="146" spans="1:56" ht="63" hidden="1" customHeight="1" x14ac:dyDescent="0.25">
      <c r="H146" s="119"/>
      <c r="AI146" s="154" t="s">
        <v>259</v>
      </c>
      <c r="AJ146" s="155" t="s">
        <v>258</v>
      </c>
      <c r="AK146" s="2">
        <f>IF(AND($H$30=$F$190,$E$5=$H$187),$H$65*$H$20,0)</f>
        <v>0</v>
      </c>
      <c r="AL146" s="154" t="s">
        <v>259</v>
      </c>
      <c r="AM146" s="155" t="s">
        <v>258</v>
      </c>
      <c r="AN146" s="2">
        <f>IF(AND($L$30=$F$190,$E$5=$H$187),$L$65*$L$20,0)</f>
        <v>0</v>
      </c>
      <c r="AO146" s="154" t="s">
        <v>259</v>
      </c>
      <c r="AP146" s="155" t="s">
        <v>258</v>
      </c>
      <c r="AQ146" s="2">
        <f>IF(AND($P$30=$F$190,$E$5=$H$187),$P$65*$P$20,0)</f>
        <v>0</v>
      </c>
      <c r="AR146" s="154" t="s">
        <v>259</v>
      </c>
      <c r="AS146" s="155" t="s">
        <v>258</v>
      </c>
      <c r="AT146" s="2">
        <f>IF(AND($T$30=$F$190,$E$5=$H$187),$T$65*$T$20,0)</f>
        <v>0</v>
      </c>
      <c r="AU146" s="154" t="s">
        <v>259</v>
      </c>
      <c r="AV146" s="155" t="s">
        <v>258</v>
      </c>
      <c r="AW146" s="2">
        <f>IF(AND($X$30=$F$190,$E$5=$H$187),$X$65*$X$20,0)</f>
        <v>0</v>
      </c>
      <c r="AX146" s="154" t="s">
        <v>259</v>
      </c>
      <c r="AY146" s="155" t="s">
        <v>258</v>
      </c>
      <c r="AZ146" s="2">
        <f>IF(AND($AB$30=$F$190,$E$5=$H$187),$AB$65*$AB$20,0)</f>
        <v>0</v>
      </c>
    </row>
    <row r="147" spans="1:56" ht="63" hidden="1" customHeight="1" x14ac:dyDescent="0.25">
      <c r="H147" s="119"/>
      <c r="AI147" s="154" t="s">
        <v>261</v>
      </c>
      <c r="AJ147" s="155" t="s">
        <v>260</v>
      </c>
      <c r="AK147" s="2">
        <f>IF(AND($H$30=$F$190,$E$5=$H$188),$H$65*$H$20,0)</f>
        <v>0</v>
      </c>
      <c r="AL147" s="154" t="s">
        <v>261</v>
      </c>
      <c r="AM147" s="155" t="s">
        <v>260</v>
      </c>
      <c r="AN147" s="2">
        <f>IF(AND($L$30=$F$190,$E$5=$H$188),$L$65*$L$20,0)</f>
        <v>0</v>
      </c>
      <c r="AO147" s="154" t="s">
        <v>261</v>
      </c>
      <c r="AP147" s="155" t="s">
        <v>260</v>
      </c>
      <c r="AQ147" s="2">
        <f>IF(AND($P$30=$F$190,$E$5=$H$188),$P$65*$P$20,0)</f>
        <v>0</v>
      </c>
      <c r="AR147" s="154" t="s">
        <v>261</v>
      </c>
      <c r="AS147" s="155" t="s">
        <v>260</v>
      </c>
      <c r="AT147" s="2">
        <f>IF(AND($T$30=$F$190,$E$5=$H$188),$T$65*$T$20,0)</f>
        <v>0</v>
      </c>
      <c r="AU147" s="154" t="s">
        <v>261</v>
      </c>
      <c r="AV147" s="155" t="s">
        <v>260</v>
      </c>
      <c r="AW147" s="2">
        <f>IF(AND($X$30=$F$190,$E$5=$H$188),$X$65*$X$20,0)</f>
        <v>0</v>
      </c>
      <c r="AX147" s="154" t="s">
        <v>261</v>
      </c>
      <c r="AY147" s="155" t="s">
        <v>260</v>
      </c>
      <c r="AZ147" s="2">
        <f>IF(AND($AB$30=$F$190,$E$5=$H$188),$AB$65*$AB$20,0)</f>
        <v>0</v>
      </c>
    </row>
    <row r="148" spans="1:56" ht="63" hidden="1" customHeight="1" x14ac:dyDescent="0.25">
      <c r="H148" s="119"/>
      <c r="AI148" s="154" t="s">
        <v>263</v>
      </c>
      <c r="AJ148" s="155" t="s">
        <v>262</v>
      </c>
      <c r="AK148" s="2">
        <f>IF(AND($H$30=$F$190,$E$5=$H$189),$H$65*$H$20,0)</f>
        <v>0</v>
      </c>
      <c r="AL148" s="154" t="s">
        <v>263</v>
      </c>
      <c r="AM148" s="155" t="s">
        <v>262</v>
      </c>
      <c r="AN148" s="2">
        <f>IF(AND($L$30=$F$190,$E$5=$H$189),$L$65*$L$20,0)</f>
        <v>0</v>
      </c>
      <c r="AO148" s="154" t="s">
        <v>263</v>
      </c>
      <c r="AP148" s="155" t="s">
        <v>262</v>
      </c>
      <c r="AQ148" s="2">
        <f>IF(AND($P$30=$F$190,$E$5=$H$189),$P$65*$P$20,0)</f>
        <v>0</v>
      </c>
      <c r="AR148" s="154" t="s">
        <v>263</v>
      </c>
      <c r="AS148" s="155" t="s">
        <v>262</v>
      </c>
      <c r="AT148" s="2">
        <f>IF(AND($T$30=$F$190,$E$5=$H$189),$T$65*$T$20,0)</f>
        <v>0</v>
      </c>
      <c r="AU148" s="154" t="s">
        <v>263</v>
      </c>
      <c r="AV148" s="155" t="s">
        <v>262</v>
      </c>
      <c r="AW148" s="2">
        <f>IF(AND($X$30=$F$190,$E$5=$H$189),$X$65*$X$20,0)</f>
        <v>0</v>
      </c>
      <c r="AX148" s="154" t="s">
        <v>263</v>
      </c>
      <c r="AY148" s="155" t="s">
        <v>262</v>
      </c>
      <c r="AZ148" s="2">
        <f>IF(AND($AB$30=$F$190,$E$5=$H$189),$AB$65*$AB$20,0)</f>
        <v>0</v>
      </c>
    </row>
    <row r="149" spans="1:56" ht="63" hidden="1" customHeight="1" thickBot="1" x14ac:dyDescent="0.3">
      <c r="E149" s="2" t="s">
        <v>1029</v>
      </c>
      <c r="F149" s="106" t="s">
        <v>1031</v>
      </c>
      <c r="G149" s="2" t="s">
        <v>1032</v>
      </c>
      <c r="H149" s="2" t="s">
        <v>1033</v>
      </c>
      <c r="I149" s="119" t="s">
        <v>1030</v>
      </c>
      <c r="AI149" s="159" t="s">
        <v>265</v>
      </c>
      <c r="AJ149" s="160" t="s">
        <v>264</v>
      </c>
      <c r="AK149" s="161">
        <f>IF(AND($H$30=$F$187,$E$5=$H$187),$H$20,0)</f>
        <v>0</v>
      </c>
      <c r="AL149" s="159" t="s">
        <v>265</v>
      </c>
      <c r="AM149" s="160" t="s">
        <v>264</v>
      </c>
      <c r="AN149" s="161">
        <f>IF(AND($L$30=$F$187,$E$5=$H$187),$L$20,0)</f>
        <v>0</v>
      </c>
      <c r="AO149" s="159" t="s">
        <v>265</v>
      </c>
      <c r="AP149" s="160" t="s">
        <v>264</v>
      </c>
      <c r="AQ149" s="161">
        <f>IF(AND($P$30=$F$187,$E$5=$H$187),$P$20,0)</f>
        <v>0</v>
      </c>
      <c r="AR149" s="159" t="s">
        <v>265</v>
      </c>
      <c r="AS149" s="160" t="s">
        <v>264</v>
      </c>
      <c r="AT149" s="161">
        <f>IF(AND($T$30=$F$187,$E$5=$H$187),$T$20,0)</f>
        <v>0</v>
      </c>
      <c r="AU149" s="159" t="s">
        <v>265</v>
      </c>
      <c r="AV149" s="160" t="s">
        <v>264</v>
      </c>
      <c r="AW149" s="161">
        <f>IF(AND($X$30=$F$187,$E$5=$H$187),$X$20,0)</f>
        <v>0</v>
      </c>
      <c r="AX149" s="159" t="s">
        <v>265</v>
      </c>
      <c r="AY149" s="160" t="s">
        <v>264</v>
      </c>
      <c r="AZ149" s="161">
        <f>IF(AND($AB$30=$F$187,$E$5=$H$187),$AB$20,0)</f>
        <v>0</v>
      </c>
    </row>
    <row r="150" spans="1:56" ht="63" hidden="1" customHeight="1" thickBot="1" x14ac:dyDescent="0.3">
      <c r="D150" s="2" t="s">
        <v>1023</v>
      </c>
      <c r="E150" s="2">
        <f>$E$4/1000*H20</f>
        <v>0</v>
      </c>
      <c r="F150" s="119">
        <f t="shared" ref="F150:F155" si="0">E150*3</f>
        <v>0</v>
      </c>
      <c r="G150" s="106">
        <f>IF(OR($H$71=$M$159,$H$71=$M$160,$H$71=$M$161),$F$150*2,0)</f>
        <v>0</v>
      </c>
      <c r="H150" s="2">
        <f>IF($H$71=$M$162,$F$150*3,0)</f>
        <v>0</v>
      </c>
      <c r="K150" s="195" t="s">
        <v>927</v>
      </c>
      <c r="L150" s="179"/>
      <c r="AI150" s="159" t="s">
        <v>267</v>
      </c>
      <c r="AJ150" s="160" t="s">
        <v>266</v>
      </c>
      <c r="AK150" s="161">
        <f>IF(AND($H$30=$F$187,$E$5=$H$188),$H$20,0)</f>
        <v>0</v>
      </c>
      <c r="AL150" s="159" t="s">
        <v>267</v>
      </c>
      <c r="AM150" s="160" t="s">
        <v>266</v>
      </c>
      <c r="AN150" s="161">
        <f>IF(AND($L$30=$F$187,$E$5=$H$188),$L$20,0)</f>
        <v>0</v>
      </c>
      <c r="AO150" s="159" t="s">
        <v>267</v>
      </c>
      <c r="AP150" s="160" t="s">
        <v>266</v>
      </c>
      <c r="AQ150" s="161">
        <f>IF(AND($P$30=$F$187,$E$5=$H$188),$P$20,0)</f>
        <v>0</v>
      </c>
      <c r="AR150" s="159" t="s">
        <v>267</v>
      </c>
      <c r="AS150" s="160" t="s">
        <v>266</v>
      </c>
      <c r="AT150" s="161">
        <f>IF(AND($T$30=$F$187,$E$5=$H$188),$T$20,0)</f>
        <v>0</v>
      </c>
      <c r="AU150" s="159" t="s">
        <v>267</v>
      </c>
      <c r="AV150" s="160" t="s">
        <v>266</v>
      </c>
      <c r="AW150" s="161">
        <f>IF(AND($X$30=$F$187,$E$5=$H$188),$X$20,0)</f>
        <v>0</v>
      </c>
      <c r="AX150" s="159" t="s">
        <v>267</v>
      </c>
      <c r="AY150" s="160" t="s">
        <v>266</v>
      </c>
      <c r="AZ150" s="161">
        <f>IF(AND($AB$30=$F$187,$E$5=$H$188),$AB$20,0)</f>
        <v>0</v>
      </c>
    </row>
    <row r="151" spans="1:56" ht="63" hidden="1" customHeight="1" x14ac:dyDescent="0.25">
      <c r="D151" s="2" t="s">
        <v>1024</v>
      </c>
      <c r="E151" s="2">
        <f>$E$4/1000*L20</f>
        <v>0</v>
      </c>
      <c r="F151" s="119">
        <f t="shared" si="0"/>
        <v>0</v>
      </c>
      <c r="G151" s="2">
        <f>IF(OR($L$71=$M$159,$L$71=$M$160,$L$71=$M$161),$F$151*2,0)</f>
        <v>0</v>
      </c>
      <c r="H151" s="2">
        <f>IF($L$71=$M$162,$F$151*3,0)</f>
        <v>0</v>
      </c>
      <c r="K151" s="201" t="s">
        <v>768</v>
      </c>
      <c r="M151" s="351" t="s">
        <v>728</v>
      </c>
      <c r="N151" s="352"/>
      <c r="O151" s="352"/>
      <c r="P151" s="352"/>
      <c r="Q151" s="352"/>
      <c r="R151" s="353"/>
      <c r="AI151" s="159" t="s">
        <v>269</v>
      </c>
      <c r="AJ151" s="160" t="s">
        <v>268</v>
      </c>
      <c r="AK151" s="161">
        <f>IF(AND($H$30=$F$187,$E$5=$H$189),$H$20,0)</f>
        <v>0</v>
      </c>
      <c r="AL151" s="159" t="s">
        <v>269</v>
      </c>
      <c r="AM151" s="160" t="s">
        <v>268</v>
      </c>
      <c r="AN151" s="161">
        <f>IF(AND($L$30=$F$187,$E$5=$H$189),$L$20,0)</f>
        <v>0</v>
      </c>
      <c r="AO151" s="159" t="s">
        <v>269</v>
      </c>
      <c r="AP151" s="160" t="s">
        <v>268</v>
      </c>
      <c r="AQ151" s="161">
        <f>IF(AND($P$30=$F$187,$E$5=$H$189),$P$20,0)</f>
        <v>0</v>
      </c>
      <c r="AR151" s="159" t="s">
        <v>269</v>
      </c>
      <c r="AS151" s="160" t="s">
        <v>268</v>
      </c>
      <c r="AT151" s="161">
        <f>IF(AND($T$30=$F$187,$E$5=$H$189),$T$20,0)</f>
        <v>0</v>
      </c>
      <c r="AU151" s="159" t="s">
        <v>269</v>
      </c>
      <c r="AV151" s="160" t="s">
        <v>268</v>
      </c>
      <c r="AW151" s="161">
        <f>IF(AND($X$30=$F$187,$E$5=$H$189),$X$20,0)</f>
        <v>0</v>
      </c>
      <c r="AX151" s="159" t="s">
        <v>269</v>
      </c>
      <c r="AY151" s="160" t="s">
        <v>268</v>
      </c>
      <c r="AZ151" s="161">
        <f>IF(AND($AB$30=$F$187,$E$5=$H$189),$AB$20,0)</f>
        <v>0</v>
      </c>
    </row>
    <row r="152" spans="1:56" ht="63" hidden="1" customHeight="1" x14ac:dyDescent="0.25">
      <c r="D152" s="2" t="s">
        <v>1025</v>
      </c>
      <c r="E152" s="2">
        <f>$E$4/1000*P20</f>
        <v>0</v>
      </c>
      <c r="F152" s="119">
        <f t="shared" si="0"/>
        <v>0</v>
      </c>
      <c r="G152" s="2">
        <f>IF(OR($P$71=$M$159,$P$71=$M$160,$P$71=$M$161),$F$152*2,0)</f>
        <v>0</v>
      </c>
      <c r="H152" s="2">
        <f>IF($P$71=$M$162,$F$152*3,0)</f>
        <v>0</v>
      </c>
      <c r="K152" s="201" t="s">
        <v>837</v>
      </c>
      <c r="M152" s="182"/>
      <c r="N152" s="118" t="s">
        <v>729</v>
      </c>
      <c r="O152" s="183" t="s">
        <v>730</v>
      </c>
      <c r="P152" s="183" t="s">
        <v>731</v>
      </c>
      <c r="Q152" s="183" t="s">
        <v>730</v>
      </c>
      <c r="R152" s="184" t="s">
        <v>923</v>
      </c>
      <c r="AI152" s="159" t="s">
        <v>271</v>
      </c>
      <c r="AJ152" s="160" t="s">
        <v>270</v>
      </c>
      <c r="AK152" s="161">
        <f>IF(AND($H$30=$F$188,$E$5=$H$187),$H$20,0)</f>
        <v>0</v>
      </c>
      <c r="AL152" s="159" t="s">
        <v>271</v>
      </c>
      <c r="AM152" s="160" t="s">
        <v>270</v>
      </c>
      <c r="AN152" s="161">
        <f>IF(AND($L$30=$F$188,$E$5=$H$187),$L$20,0)</f>
        <v>0</v>
      </c>
      <c r="AO152" s="159" t="s">
        <v>271</v>
      </c>
      <c r="AP152" s="160" t="s">
        <v>270</v>
      </c>
      <c r="AQ152" s="161">
        <f>IF(AND($P$30=$F$188,$E$5=$H$187),$P$20,0)</f>
        <v>0</v>
      </c>
      <c r="AR152" s="159" t="s">
        <v>271</v>
      </c>
      <c r="AS152" s="160" t="s">
        <v>270</v>
      </c>
      <c r="AT152" s="161">
        <f>IF(AND($T$30=$F$188,$E$5=$H$187),$T$20,0)</f>
        <v>0</v>
      </c>
      <c r="AU152" s="159" t="s">
        <v>271</v>
      </c>
      <c r="AV152" s="160" t="s">
        <v>270</v>
      </c>
      <c r="AW152" s="161">
        <f>IF(AND($X$30=$F$188,$E$5=$H$187),$X$20,0)</f>
        <v>0</v>
      </c>
      <c r="AX152" s="159" t="s">
        <v>271</v>
      </c>
      <c r="AY152" s="160" t="s">
        <v>270</v>
      </c>
      <c r="AZ152" s="161">
        <f>IF(AND($AB$30=$F$188,$E$5=$H$187),$AB$20,0)</f>
        <v>0</v>
      </c>
    </row>
    <row r="153" spans="1:56" ht="63" hidden="1" customHeight="1" x14ac:dyDescent="0.25">
      <c r="D153" s="2" t="s">
        <v>1026</v>
      </c>
      <c r="E153" s="2">
        <f>$E$4/1000*T20</f>
        <v>0</v>
      </c>
      <c r="F153" s="119">
        <f t="shared" si="0"/>
        <v>0</v>
      </c>
      <c r="G153" s="2">
        <f>IF(OR($T$71=$M$159,$T$71=$M$160,$T$71=$M$161),$F$153*2,0)</f>
        <v>0</v>
      </c>
      <c r="H153" s="2">
        <f>IF($T$71=$M$162,$F$153*3,0)</f>
        <v>0</v>
      </c>
      <c r="K153" s="201" t="s">
        <v>838</v>
      </c>
      <c r="M153" s="182" t="s">
        <v>732</v>
      </c>
      <c r="N153" s="118">
        <v>475</v>
      </c>
      <c r="O153" s="183">
        <v>1.07</v>
      </c>
      <c r="P153" s="183"/>
      <c r="Q153" s="183"/>
      <c r="R153" s="185">
        <f t="shared" ref="R153:R162" si="1">IF($E$16=$D$168,O153,Q153)</f>
        <v>1.07</v>
      </c>
      <c r="AI153" s="159" t="s">
        <v>273</v>
      </c>
      <c r="AJ153" s="160" t="s">
        <v>272</v>
      </c>
      <c r="AK153" s="161">
        <f>IF(AND($H$30=$F$188,$E$5=$H$188),$H$20,0)</f>
        <v>0</v>
      </c>
      <c r="AL153" s="159" t="s">
        <v>273</v>
      </c>
      <c r="AM153" s="160" t="s">
        <v>272</v>
      </c>
      <c r="AN153" s="161">
        <f>IF(AND($L$30=$F$188,$E$5=$H$188),$L$20,0)</f>
        <v>0</v>
      </c>
      <c r="AO153" s="159" t="s">
        <v>273</v>
      </c>
      <c r="AP153" s="160" t="s">
        <v>272</v>
      </c>
      <c r="AQ153" s="161">
        <f>IF(AND($P$30=$F$188,$E$5=$H$188),$P$20,0)</f>
        <v>0</v>
      </c>
      <c r="AR153" s="159" t="s">
        <v>273</v>
      </c>
      <c r="AS153" s="160" t="s">
        <v>272</v>
      </c>
      <c r="AT153" s="161">
        <f>IF(AND($T$30=$F$188,$E$5=$H$188),$T$20,0)</f>
        <v>0</v>
      </c>
      <c r="AU153" s="159" t="s">
        <v>273</v>
      </c>
      <c r="AV153" s="160" t="s">
        <v>272</v>
      </c>
      <c r="AW153" s="161">
        <f>IF(AND($X$30=$F$188,$E$5=$H$188),$X$20,0)</f>
        <v>0</v>
      </c>
      <c r="AX153" s="159" t="s">
        <v>273</v>
      </c>
      <c r="AY153" s="160" t="s">
        <v>272</v>
      </c>
      <c r="AZ153" s="161">
        <f>IF(AND($AB$30=$F$188,$E$5=$H$188),$AB$20,0)</f>
        <v>0</v>
      </c>
    </row>
    <row r="154" spans="1:56" ht="63" hidden="1" customHeight="1" x14ac:dyDescent="0.25">
      <c r="D154" s="2" t="s">
        <v>1027</v>
      </c>
      <c r="E154" s="2">
        <f>$E$4/1000*X20</f>
        <v>0</v>
      </c>
      <c r="F154" s="119">
        <f t="shared" si="0"/>
        <v>0</v>
      </c>
      <c r="G154" s="2">
        <f>IF(OR($X$71=$M$159,$X$71=$M$160,$X$71=$M$161),$F$154*2,0)</f>
        <v>0</v>
      </c>
      <c r="H154" s="2">
        <f>IF($X$71=$M$162,$F$154*3,0)</f>
        <v>0</v>
      </c>
      <c r="K154" s="201" t="s">
        <v>839</v>
      </c>
      <c r="M154" s="182" t="s">
        <v>733</v>
      </c>
      <c r="N154" s="118">
        <v>860</v>
      </c>
      <c r="O154" s="183">
        <v>2.23</v>
      </c>
      <c r="P154" s="183">
        <v>665</v>
      </c>
      <c r="Q154" s="183">
        <v>0.68</v>
      </c>
      <c r="R154" s="185">
        <f t="shared" si="1"/>
        <v>2.23</v>
      </c>
      <c r="AI154" s="159" t="s">
        <v>275</v>
      </c>
      <c r="AJ154" s="160" t="s">
        <v>274</v>
      </c>
      <c r="AK154" s="161">
        <f>IF(AND($H$30=$F$188,$E$5=$H$189),$H$20,0)</f>
        <v>0</v>
      </c>
      <c r="AL154" s="159" t="s">
        <v>275</v>
      </c>
      <c r="AM154" s="160" t="s">
        <v>274</v>
      </c>
      <c r="AN154" s="161">
        <f>IF(AND($L$30=$F$188,$E$5=$H$189),$L$20,0)</f>
        <v>0</v>
      </c>
      <c r="AO154" s="159" t="s">
        <v>275</v>
      </c>
      <c r="AP154" s="160" t="s">
        <v>274</v>
      </c>
      <c r="AQ154" s="161">
        <f>IF(AND($P$30=$F$188,$E$5=$H$189),$P$20,0)</f>
        <v>0</v>
      </c>
      <c r="AR154" s="159" t="s">
        <v>275</v>
      </c>
      <c r="AS154" s="160" t="s">
        <v>274</v>
      </c>
      <c r="AT154" s="161">
        <f>IF(AND($T$30=$F$188,$E$5=$H$189),$T$20,0)</f>
        <v>0</v>
      </c>
      <c r="AU154" s="159" t="s">
        <v>275</v>
      </c>
      <c r="AV154" s="160" t="s">
        <v>274</v>
      </c>
      <c r="AW154" s="161">
        <f>IF(AND($X$30=$F$188,$E$5=$H$189),$X$20,0)</f>
        <v>0</v>
      </c>
      <c r="AX154" s="159" t="s">
        <v>275</v>
      </c>
      <c r="AY154" s="160" t="s">
        <v>274</v>
      </c>
      <c r="AZ154" s="161">
        <f>IF(AND($AB$30=$F$188,$E$5=$H$189),$AB$20,0)</f>
        <v>0</v>
      </c>
    </row>
    <row r="155" spans="1:56" ht="63" hidden="1" customHeight="1" x14ac:dyDescent="0.25">
      <c r="A155" s="2"/>
      <c r="B155" s="213"/>
      <c r="C155" s="163"/>
      <c r="D155" s="2" t="s">
        <v>1028</v>
      </c>
      <c r="E155" s="2">
        <f>$E$4/1000*AB20</f>
        <v>0</v>
      </c>
      <c r="F155" s="119">
        <f t="shared" si="0"/>
        <v>0</v>
      </c>
      <c r="G155" s="2">
        <f>IF(OR($AB$71=$M$159,$AB$71=$M$160,$AB$71=$M$161),$F$155*2,0)</f>
        <v>0</v>
      </c>
      <c r="H155" s="2">
        <f>IF($AB$71=$M$162,$F$155*3,0)</f>
        <v>0</v>
      </c>
      <c r="K155" s="201" t="s">
        <v>840</v>
      </c>
      <c r="M155" s="182" t="s">
        <v>734</v>
      </c>
      <c r="N155" s="118">
        <v>1475</v>
      </c>
      <c r="O155" s="183">
        <v>5.35</v>
      </c>
      <c r="P155" s="183">
        <v>1155</v>
      </c>
      <c r="Q155" s="183">
        <v>1.63</v>
      </c>
      <c r="R155" s="185">
        <f t="shared" si="1"/>
        <v>5.35</v>
      </c>
      <c r="AI155" s="159" t="s">
        <v>277</v>
      </c>
      <c r="AJ155" s="160" t="s">
        <v>276</v>
      </c>
      <c r="AK155" s="161">
        <f>IF(AND($H$30=$F$189,$E$5=$H$187),$H$20,0)</f>
        <v>0</v>
      </c>
      <c r="AL155" s="159" t="s">
        <v>277</v>
      </c>
      <c r="AM155" s="160" t="s">
        <v>276</v>
      </c>
      <c r="AN155" s="161">
        <f>IF(AND($L$30=$F$189,$E$5=$H$187),$L$20,0)</f>
        <v>0</v>
      </c>
      <c r="AO155" s="159" t="s">
        <v>277</v>
      </c>
      <c r="AP155" s="160" t="s">
        <v>276</v>
      </c>
      <c r="AQ155" s="161">
        <f>IF(AND($P$30=$F$189,$E$5=$H$187),$P$20,0)</f>
        <v>0</v>
      </c>
      <c r="AR155" s="159" t="s">
        <v>277</v>
      </c>
      <c r="AS155" s="160" t="s">
        <v>276</v>
      </c>
      <c r="AT155" s="161">
        <f>IF(AND($T$30=$F$189,$E$5=$H$187),$T$20,0)</f>
        <v>0</v>
      </c>
      <c r="AU155" s="159" t="s">
        <v>277</v>
      </c>
      <c r="AV155" s="160" t="s">
        <v>276</v>
      </c>
      <c r="AW155" s="161">
        <f>IF(AND($X$30=$F$189,$E$5=$H$187),$X$20,0)</f>
        <v>0</v>
      </c>
      <c r="AX155" s="159" t="s">
        <v>277</v>
      </c>
      <c r="AY155" s="160" t="s">
        <v>276</v>
      </c>
      <c r="AZ155" s="161">
        <f>IF(AND($AB$30=$F$189,$E$5=$H$187),$AB$20,0)</f>
        <v>0</v>
      </c>
    </row>
    <row r="156" spans="1:56" ht="63" hidden="1" customHeight="1" x14ac:dyDescent="0.25">
      <c r="A156" s="2"/>
      <c r="B156" s="213"/>
      <c r="C156" s="163"/>
      <c r="D156" s="2" t="s">
        <v>1022</v>
      </c>
      <c r="E156" s="119">
        <f>IF(SUM($D$20,$H$20,$L$20,$P$20,$T$20,$X$20,$AB$20)&lt;&gt;0,ROUNDUP(SUM($D$22*$D$20,$H$30*$H$20,$L$30*$L$20,$P$30*$P$20,$T$30*$T$20,$X$30*$X$20,$AB$30*$AB$20)/1000,1),0)</f>
        <v>0</v>
      </c>
      <c r="F156" s="106">
        <f>IF($E$17=$D$175,$E$156*4,$E$156*5)</f>
        <v>0</v>
      </c>
      <c r="G156" s="106">
        <f>IF(OR($D$23=M159,$D$23=$M$160,$D$23=$M$161),$F$156*2,0)</f>
        <v>0</v>
      </c>
      <c r="H156" s="106">
        <f>IF($D$23=M162,$F$156*3,0)</f>
        <v>0</v>
      </c>
      <c r="K156" s="201" t="s">
        <v>841</v>
      </c>
      <c r="M156" s="182" t="s">
        <v>735</v>
      </c>
      <c r="N156" s="118">
        <v>1900</v>
      </c>
      <c r="O156" s="183">
        <v>7.13</v>
      </c>
      <c r="P156" s="183">
        <v>1480</v>
      </c>
      <c r="Q156" s="183">
        <v>2.17</v>
      </c>
      <c r="R156" s="185">
        <f t="shared" si="1"/>
        <v>7.13</v>
      </c>
      <c r="AI156" s="159" t="s">
        <v>279</v>
      </c>
      <c r="AJ156" s="160" t="s">
        <v>278</v>
      </c>
      <c r="AK156" s="161">
        <f>IF(AND($H$30=$F$189,$E$5=$H$188),$H$20,0)</f>
        <v>0</v>
      </c>
      <c r="AL156" s="159" t="s">
        <v>279</v>
      </c>
      <c r="AM156" s="160" t="s">
        <v>278</v>
      </c>
      <c r="AN156" s="161">
        <f>IF(AND($L$30=$F$189,$E$5=$H$188),$L$20,0)</f>
        <v>0</v>
      </c>
      <c r="AO156" s="159" t="s">
        <v>279</v>
      </c>
      <c r="AP156" s="160" t="s">
        <v>278</v>
      </c>
      <c r="AQ156" s="161">
        <f>IF(AND($P$30=$F$189,$E$5=$H$188),$P$20,0)</f>
        <v>0</v>
      </c>
      <c r="AR156" s="159" t="s">
        <v>279</v>
      </c>
      <c r="AS156" s="160" t="s">
        <v>278</v>
      </c>
      <c r="AT156" s="161">
        <f>IF(AND($T$30=$F$189,$E$5=$H$188),$T$20,0)</f>
        <v>0</v>
      </c>
      <c r="AU156" s="159" t="s">
        <v>279</v>
      </c>
      <c r="AV156" s="160" t="s">
        <v>278</v>
      </c>
      <c r="AW156" s="161">
        <f>IF(AND($X$30=$F$189,$E$5=$H$188),$X$20,0)</f>
        <v>0</v>
      </c>
      <c r="AX156" s="159" t="s">
        <v>279</v>
      </c>
      <c r="AY156" s="160" t="s">
        <v>278</v>
      </c>
      <c r="AZ156" s="161">
        <f>IF(AND($AB$30=$F$189,$E$5=$H$188),$AB$20,0)</f>
        <v>0</v>
      </c>
    </row>
    <row r="157" spans="1:56" ht="63" hidden="1" customHeight="1" x14ac:dyDescent="0.25">
      <c r="A157" s="2"/>
      <c r="B157" s="213"/>
      <c r="C157" s="163"/>
      <c r="F157" s="106" t="s">
        <v>951</v>
      </c>
      <c r="G157" s="2" t="s">
        <v>499</v>
      </c>
      <c r="K157" s="201" t="s">
        <v>842</v>
      </c>
      <c r="M157" s="182" t="s">
        <v>736</v>
      </c>
      <c r="N157" s="118">
        <v>2310</v>
      </c>
      <c r="O157" s="183">
        <v>8.91</v>
      </c>
      <c r="P157" s="183">
        <v>1820</v>
      </c>
      <c r="Q157" s="183">
        <v>2.71</v>
      </c>
      <c r="R157" s="185">
        <f t="shared" si="1"/>
        <v>8.91</v>
      </c>
      <c r="AI157" s="159" t="s">
        <v>281</v>
      </c>
      <c r="AJ157" s="160" t="s">
        <v>280</v>
      </c>
      <c r="AK157" s="161">
        <f>IF(AND($H$30=$F$189,$E$5=$H$189),$H$20,0)</f>
        <v>0</v>
      </c>
      <c r="AL157" s="159" t="s">
        <v>281</v>
      </c>
      <c r="AM157" s="160" t="s">
        <v>280</v>
      </c>
      <c r="AN157" s="161">
        <f>IF(AND($L$30=$F$189,$E$5=$H$189),$L$20,0)</f>
        <v>0</v>
      </c>
      <c r="AO157" s="159" t="s">
        <v>281</v>
      </c>
      <c r="AP157" s="160" t="s">
        <v>280</v>
      </c>
      <c r="AQ157" s="161">
        <f>IF(AND($P$30=$F$189,$E$5=$H$189),$P$20,0)</f>
        <v>0</v>
      </c>
      <c r="AR157" s="159" t="s">
        <v>281</v>
      </c>
      <c r="AS157" s="160" t="s">
        <v>280</v>
      </c>
      <c r="AT157" s="161">
        <f>IF(AND($T$30=$F$189,$E$5=$H$189),$T$20,0)</f>
        <v>0</v>
      </c>
      <c r="AU157" s="159" t="s">
        <v>281</v>
      </c>
      <c r="AV157" s="160" t="s">
        <v>280</v>
      </c>
      <c r="AW157" s="161">
        <f>IF(AND($X$30=$F$189,$E$5=$H$189),$X$20,0)</f>
        <v>0</v>
      </c>
      <c r="AX157" s="159" t="s">
        <v>281</v>
      </c>
      <c r="AY157" s="160" t="s">
        <v>280</v>
      </c>
      <c r="AZ157" s="161">
        <f>IF(AND($AB$30=$F$189,$E$5=$H$189),$AB$20,0)</f>
        <v>0</v>
      </c>
    </row>
    <row r="158" spans="1:56" ht="63" hidden="1" customHeight="1" x14ac:dyDescent="0.25">
      <c r="A158" s="2"/>
      <c r="B158" s="213"/>
      <c r="C158" s="163"/>
      <c r="E158" s="2" t="s">
        <v>1034</v>
      </c>
      <c r="K158" s="201" t="s">
        <v>843</v>
      </c>
      <c r="M158" s="182" t="s">
        <v>737</v>
      </c>
      <c r="N158" s="118">
        <v>2650</v>
      </c>
      <c r="O158" s="183">
        <v>10.69</v>
      </c>
      <c r="P158" s="183">
        <v>2070</v>
      </c>
      <c r="Q158" s="183">
        <v>3.25</v>
      </c>
      <c r="R158" s="185">
        <f t="shared" si="1"/>
        <v>10.69</v>
      </c>
      <c r="AI158" s="159" t="s">
        <v>283</v>
      </c>
      <c r="AJ158" s="160" t="s">
        <v>282</v>
      </c>
      <c r="AK158" s="161">
        <f>IF(AND($H$30=$F$190,$E$5=$H$187),$H$20,0)</f>
        <v>0</v>
      </c>
      <c r="AL158" s="159" t="s">
        <v>283</v>
      </c>
      <c r="AM158" s="160" t="s">
        <v>282</v>
      </c>
      <c r="AN158" s="161">
        <f>IF(AND($L$30=$F$190,$E$5=$H$187),$L$20,0)</f>
        <v>0</v>
      </c>
      <c r="AO158" s="159" t="s">
        <v>283</v>
      </c>
      <c r="AP158" s="160" t="s">
        <v>282</v>
      </c>
      <c r="AQ158" s="161">
        <f>IF(AND($P$30=$F$190,$E$5=$H$187),$P$20,0)</f>
        <v>0</v>
      </c>
      <c r="AR158" s="159" t="s">
        <v>283</v>
      </c>
      <c r="AS158" s="160" t="s">
        <v>282</v>
      </c>
      <c r="AT158" s="161">
        <f>IF(AND($T$30=$F$190,$E$5=$H$187),$T$20,0)</f>
        <v>0</v>
      </c>
      <c r="AU158" s="159" t="s">
        <v>283</v>
      </c>
      <c r="AV158" s="160" t="s">
        <v>282</v>
      </c>
      <c r="AW158" s="161">
        <f>IF(AND($X$30=$F$190,$E$5=$H$187),$X$20,0)</f>
        <v>0</v>
      </c>
      <c r="AX158" s="159" t="s">
        <v>283</v>
      </c>
      <c r="AY158" s="160" t="s">
        <v>282</v>
      </c>
      <c r="AZ158" s="161">
        <f>IF(AND($AB$30=$F$190,$E$5=$H$187),$AB$20,0)</f>
        <v>0</v>
      </c>
    </row>
    <row r="159" spans="1:56" ht="63" hidden="1" customHeight="1" x14ac:dyDescent="0.25">
      <c r="A159" s="2"/>
      <c r="B159" s="213"/>
      <c r="C159" s="163"/>
      <c r="E159" s="2" t="s">
        <v>1035</v>
      </c>
      <c r="K159" s="201" t="s">
        <v>844</v>
      </c>
      <c r="M159" s="182" t="s">
        <v>738</v>
      </c>
      <c r="N159" s="118">
        <v>3100</v>
      </c>
      <c r="O159" s="183">
        <f>2*O156</f>
        <v>14.26</v>
      </c>
      <c r="P159" s="183">
        <v>2410</v>
      </c>
      <c r="Q159" s="183">
        <f>2*Q156</f>
        <v>4.34</v>
      </c>
      <c r="R159" s="185">
        <f t="shared" si="1"/>
        <v>14.26</v>
      </c>
      <c r="AI159" s="159" t="s">
        <v>285</v>
      </c>
      <c r="AJ159" s="160" t="s">
        <v>284</v>
      </c>
      <c r="AK159" s="161">
        <f>IF(AND($H$30=$F$190,$E$5=$H$188),$H$20,0)</f>
        <v>0</v>
      </c>
      <c r="AL159" s="159" t="s">
        <v>285</v>
      </c>
      <c r="AM159" s="160" t="s">
        <v>284</v>
      </c>
      <c r="AN159" s="161">
        <f>IF(AND($L$30=$F$190,$E$5=$H$188),$L$20,0)</f>
        <v>0</v>
      </c>
      <c r="AO159" s="159" t="s">
        <v>285</v>
      </c>
      <c r="AP159" s="160" t="s">
        <v>284</v>
      </c>
      <c r="AQ159" s="161">
        <f>IF(AND($P$30=$F$190,$E$5=$H$188),$P$20,0)</f>
        <v>0</v>
      </c>
      <c r="AR159" s="159" t="s">
        <v>285</v>
      </c>
      <c r="AS159" s="160" t="s">
        <v>284</v>
      </c>
      <c r="AT159" s="161">
        <f>IF(AND($T$30=$F$190,$E$5=$H$188),$T$20,0)</f>
        <v>0</v>
      </c>
      <c r="AU159" s="159" t="s">
        <v>285</v>
      </c>
      <c r="AV159" s="160" t="s">
        <v>284</v>
      </c>
      <c r="AW159" s="161">
        <f>IF(AND($X$30=$F$190,$E$5=$H$188),$X$20,0)</f>
        <v>0</v>
      </c>
      <c r="AX159" s="159" t="s">
        <v>285</v>
      </c>
      <c r="AY159" s="160" t="s">
        <v>284</v>
      </c>
      <c r="AZ159" s="161">
        <f>IF(AND($AB$30=$F$190,$E$5=$H$188),$AB$20,0)</f>
        <v>0</v>
      </c>
    </row>
    <row r="160" spans="1:56" ht="63" hidden="1" customHeight="1" x14ac:dyDescent="0.25">
      <c r="A160" s="164"/>
      <c r="B160" s="213"/>
      <c r="C160" s="163"/>
      <c r="K160" s="201" t="s">
        <v>845</v>
      </c>
      <c r="M160" s="182" t="s">
        <v>739</v>
      </c>
      <c r="N160" s="118">
        <v>3610</v>
      </c>
      <c r="O160" s="183">
        <f>2*O157</f>
        <v>17.82</v>
      </c>
      <c r="P160" s="183">
        <v>2860</v>
      </c>
      <c r="Q160" s="183">
        <f>2*Q157</f>
        <v>5.42</v>
      </c>
      <c r="R160" s="185">
        <f t="shared" si="1"/>
        <v>17.82</v>
      </c>
      <c r="AI160" s="159" t="s">
        <v>287</v>
      </c>
      <c r="AJ160" s="160" t="s">
        <v>286</v>
      </c>
      <c r="AK160" s="161">
        <f>IF(AND($H$30=$F$190,$E$5=$H$189),$H$20,0)</f>
        <v>0</v>
      </c>
      <c r="AL160" s="159" t="s">
        <v>287</v>
      </c>
      <c r="AM160" s="160" t="s">
        <v>286</v>
      </c>
      <c r="AN160" s="161">
        <f>IF(AND($L$30=$F$190,$E$5=$H$189),$L$20,0)</f>
        <v>0</v>
      </c>
      <c r="AO160" s="159" t="s">
        <v>287</v>
      </c>
      <c r="AP160" s="160" t="s">
        <v>286</v>
      </c>
      <c r="AQ160" s="161">
        <f>IF(AND($P$30=$F$190,$E$5=$H$189),$P$20,0)</f>
        <v>0</v>
      </c>
      <c r="AR160" s="159" t="s">
        <v>287</v>
      </c>
      <c r="AS160" s="160" t="s">
        <v>286</v>
      </c>
      <c r="AT160" s="161">
        <f>IF(AND($T$30=$F$190,$E$5=$H$189),$T$20,0)</f>
        <v>0</v>
      </c>
      <c r="AU160" s="159" t="s">
        <v>287</v>
      </c>
      <c r="AV160" s="160" t="s">
        <v>286</v>
      </c>
      <c r="AW160" s="161">
        <f>IF(AND($X$30=$F$190,$E$5=$H$189),$X$20,0)</f>
        <v>0</v>
      </c>
      <c r="AX160" s="159" t="s">
        <v>287</v>
      </c>
      <c r="AY160" s="160" t="s">
        <v>286</v>
      </c>
      <c r="AZ160" s="161">
        <f>IF(AND($AB$30=$F$190,$E$5=$H$189),$AB$20,0)</f>
        <v>0</v>
      </c>
      <c r="BC160" s="2" t="s">
        <v>1040</v>
      </c>
      <c r="BD160" s="2" t="s">
        <v>1041</v>
      </c>
    </row>
    <row r="161" spans="1:56" ht="63" hidden="1" customHeight="1" x14ac:dyDescent="0.25">
      <c r="A161" s="164"/>
      <c r="B161" s="213"/>
      <c r="C161" s="163"/>
      <c r="K161" s="201" t="s">
        <v>846</v>
      </c>
      <c r="M161" s="182" t="s">
        <v>740</v>
      </c>
      <c r="N161" s="118">
        <v>4100</v>
      </c>
      <c r="O161" s="183">
        <f>2*O158</f>
        <v>21.38</v>
      </c>
      <c r="P161" s="183">
        <v>2860</v>
      </c>
      <c r="Q161" s="183">
        <f>2*Q158</f>
        <v>6.5</v>
      </c>
      <c r="R161" s="185">
        <f t="shared" si="1"/>
        <v>21.38</v>
      </c>
      <c r="AI161" s="186" t="s">
        <v>289</v>
      </c>
      <c r="AJ161" s="187" t="s">
        <v>288</v>
      </c>
      <c r="AK161" s="188">
        <f>IF(AND($H$30=$F$187,$E$9=$D$188),$H$20,IF(AND($H$30=$F$187,$E$9=$D$189),$H$20*2,0))</f>
        <v>0</v>
      </c>
      <c r="AL161" s="186" t="s">
        <v>289</v>
      </c>
      <c r="AM161" s="187" t="s">
        <v>288</v>
      </c>
      <c r="AN161" s="188">
        <f>IF(AND($L$30=$F$187,$E$9=$D$188),$L$20,IF(AND($L$30=$F$187,$E$9=$D$189),$L$20*2,0))</f>
        <v>0</v>
      </c>
      <c r="AO161" s="186" t="s">
        <v>289</v>
      </c>
      <c r="AP161" s="187" t="s">
        <v>288</v>
      </c>
      <c r="AQ161" s="188">
        <f>IF(AND($P$30=$F$187,$E$9=$D$188),$P$20,IF(AND($P$30=$F$187,$E$9=$D$189),$P$20*2,0))</f>
        <v>0</v>
      </c>
      <c r="AR161" s="186" t="s">
        <v>289</v>
      </c>
      <c r="AS161" s="187" t="s">
        <v>288</v>
      </c>
      <c r="AT161" s="188">
        <f>IF(AND($T$30=$F$187,$E$9=$D$188),$T$20,IF(AND($T$30=$F$187,$E$9=$D$189),$T$20*2,0))</f>
        <v>0</v>
      </c>
      <c r="AU161" s="186" t="s">
        <v>289</v>
      </c>
      <c r="AV161" s="187" t="s">
        <v>288</v>
      </c>
      <c r="AW161" s="188">
        <f>IF(AND($X$30=$F$187,$E$9=$D$188),$X$20,IF(AND($X$30=$F$187,$E$9=$D$189),$X$20*2,0))</f>
        <v>0</v>
      </c>
      <c r="AX161" s="186" t="s">
        <v>289</v>
      </c>
      <c r="AY161" s="187" t="s">
        <v>288</v>
      </c>
      <c r="AZ161" s="188">
        <f>IF(AND($AB$30=$F$187,$E$9=$D$188),$AB$20,IF(AND($AB$30=$F$187,$E$9=$D$189),$AB$20*2,0))</f>
        <v>0</v>
      </c>
      <c r="BA161" s="188"/>
      <c r="BC161" s="129">
        <f>IF(Конфигуратор!$E$9=Конфигуратор!$D$190,0,SUM(Конфигуратор!AK161,Конфигуратор!AN161,Конфигуратор!AQ161,Конфигуратор!AT161,Конфигуратор!AW161,Конфигуратор!AZ161))</f>
        <v>0</v>
      </c>
      <c r="BD161" s="2">
        <f>IF(Конфигуратор!$E$9=Конфигуратор!$D$190,0,SUM(Конфигуратор!AK161,Конфигуратор!AN161,Конфигуратор!AQ161,Конфигуратор!AT161,Конфигуратор!AW161,Конфигуратор!AZ161))</f>
        <v>0</v>
      </c>
    </row>
    <row r="162" spans="1:56" ht="63" hidden="1" customHeight="1" thickBot="1" x14ac:dyDescent="0.3">
      <c r="A162" s="164"/>
      <c r="B162" s="213"/>
      <c r="C162" s="163"/>
      <c r="F162" s="2"/>
      <c r="G162" s="106"/>
      <c r="K162" s="201" t="s">
        <v>847</v>
      </c>
      <c r="M162" s="189" t="s">
        <v>741</v>
      </c>
      <c r="N162" s="158">
        <v>5200</v>
      </c>
      <c r="O162" s="190">
        <f>3*O158</f>
        <v>32.07</v>
      </c>
      <c r="P162" s="190">
        <v>4100</v>
      </c>
      <c r="Q162" s="190">
        <f>3*Q158</f>
        <v>9.75</v>
      </c>
      <c r="R162" s="191">
        <f t="shared" si="1"/>
        <v>32.07</v>
      </c>
      <c r="AI162" s="186" t="s">
        <v>292</v>
      </c>
      <c r="AJ162" s="187" t="s">
        <v>291</v>
      </c>
      <c r="AK162" s="188">
        <f>IF(AND($H$30=$F$188,$E$9=$D$188),$H$20,IF(AND($H$30=$F$188,$E$9=$D$189),$H$20*2,0))</f>
        <v>0</v>
      </c>
      <c r="AL162" s="186" t="s">
        <v>292</v>
      </c>
      <c r="AM162" s="187" t="s">
        <v>291</v>
      </c>
      <c r="AN162" s="188">
        <f>IF(AND($L$30=$F$188,$E$9=$D$188),$L$20,IF(AND($L$30=$F$188,$E$9=$D$189),$L$20*2,0))</f>
        <v>0</v>
      </c>
      <c r="AO162" s="186" t="s">
        <v>292</v>
      </c>
      <c r="AP162" s="187" t="s">
        <v>291</v>
      </c>
      <c r="AQ162" s="188">
        <f>IF(AND($P$30=$F$188,$E$9=$D$188),$P$20,IF(AND($P$30=$F$188,$E$9=$D$189),$P$20*2,0))</f>
        <v>0</v>
      </c>
      <c r="AR162" s="186" t="s">
        <v>292</v>
      </c>
      <c r="AS162" s="187" t="s">
        <v>291</v>
      </c>
      <c r="AT162" s="188">
        <f>IF(AND($T$30=$F$188,$E$9=$D$188),$T$20,IF(AND($T$30=$F$188,$E$9=$D$189),$T$20*2,0))</f>
        <v>0</v>
      </c>
      <c r="AU162" s="186" t="s">
        <v>292</v>
      </c>
      <c r="AV162" s="187" t="s">
        <v>291</v>
      </c>
      <c r="AW162" s="188">
        <f>IF(AND($X$30=$F$188,$E$9=$D$188),$X$20,IF(AND($X$30=$F$188,$E$9=$D$189),$X$20*2,0))</f>
        <v>0</v>
      </c>
      <c r="AX162" s="186" t="s">
        <v>292</v>
      </c>
      <c r="AY162" s="187" t="s">
        <v>291</v>
      </c>
      <c r="AZ162" s="188">
        <f>IF(AND($AB$30=$F$188,$E$9=$D$188),$AB$20,IF(AND($AB$30=$F$188,$E$9=$D$189),$AB$20*2,0))</f>
        <v>0</v>
      </c>
      <c r="BA162" s="188"/>
      <c r="BC162" s="126">
        <f>IF(Конфигуратор!$E$9=Конфигуратор!$D$190,0,IF(Конфигуратор!$E$5=Конфигуратор!$H$187,SUM(Конфигуратор!AK162,Конфигуратор!AN162,Конфигуратор!AQ162,Конфигуратор!AT162,Конфигуратор!AW162,Конфигуратор!AZ162,SUM(Конфигуратор!$H$20,Конфигуратор!$L$20,Конфигуратор!$P$20,Конфигуратор!$T$20,Конфигуратор!$X$20,Конфигуратор!$AB$20)),SUM(Конфигуратор!AK162,Конфигуратор!AN162,Конфигуратор!AQ162,Конфигуратор!AT162,Конфигуратор!AW162,Конфигуратор!AZ162)))</f>
        <v>0</v>
      </c>
      <c r="BD162" s="2">
        <f>IF(Конфигуратор!$E$9=Конфигуратор!$D$190,0,IF(Конфигуратор!$E$5=Конфигуратор!$H$187,SUM(Конфигуратор!AK162,Конфигуратор!AN162,Конфигуратор!AQ162,Конфигуратор!AT162,Конфигуратор!AW162,Конфигуратор!AZ162,(SUM(Конфигуратор!$H$20,Конфигуратор!$L$20,Конфигуратор!$P$20,Конфигуратор!$T$20,Конфигуратор!$X$20,Конфигуратор!$AB$20)*2)),SUM(Конфигуратор!AK162,Конфигуратор!AN162,Конфигуратор!AQ162,Конфигуратор!AT162,Конфигуратор!AW162,Конфигуратор!AZ162)))</f>
        <v>0</v>
      </c>
    </row>
    <row r="163" spans="1:56" ht="63" hidden="1" customHeight="1" x14ac:dyDescent="0.25">
      <c r="A163" s="164"/>
      <c r="B163" s="213"/>
      <c r="C163" s="163"/>
      <c r="D163" s="180" t="s">
        <v>742</v>
      </c>
      <c r="E163" s="179"/>
      <c r="F163" s="179"/>
      <c r="G163" s="106"/>
      <c r="K163" s="201" t="s">
        <v>848</v>
      </c>
      <c r="AI163" s="186" t="s">
        <v>294</v>
      </c>
      <c r="AJ163" s="187" t="s">
        <v>293</v>
      </c>
      <c r="AK163" s="188">
        <f>IF(AND($H$30=$F$189,$E$9=$D$188),$H$20,IF(AND($H$30=$F$189,$E$9=$D$189),$H$20*2,0))</f>
        <v>0</v>
      </c>
      <c r="AL163" s="186" t="s">
        <v>294</v>
      </c>
      <c r="AM163" s="187" t="s">
        <v>293</v>
      </c>
      <c r="AN163" s="188">
        <f>IF(AND($L$30=$F$189,$E$9=$D$188),$L$20,IF(AND($L$30=$F$189,$E$9=$D$189),$L$20*2,0))</f>
        <v>0</v>
      </c>
      <c r="AO163" s="186" t="s">
        <v>294</v>
      </c>
      <c r="AP163" s="187" t="s">
        <v>293</v>
      </c>
      <c r="AQ163" s="188">
        <f>IF(AND($P$30=$F$189,$E$9=$D$188),$P$20,IF(AND($P$30=$F$189,$E$9=$D$189),$P$20*2,0))</f>
        <v>0</v>
      </c>
      <c r="AR163" s="186" t="s">
        <v>294</v>
      </c>
      <c r="AS163" s="187" t="s">
        <v>293</v>
      </c>
      <c r="AT163" s="188">
        <f>IF(AND($T$30=$F$189,$E$9=$D$188),$T$20,IF(AND($T$30=$F$189,$E$9=$D$189),$T$20*2,0))</f>
        <v>0</v>
      </c>
      <c r="AU163" s="186" t="s">
        <v>294</v>
      </c>
      <c r="AV163" s="187" t="s">
        <v>293</v>
      </c>
      <c r="AW163" s="188">
        <f>IF(AND($X$30=$F$189,$E$9=$D$188),$X$20,IF(AND($X$30=$F$189,$E$9=$D$189),$X$20*2,0))</f>
        <v>0</v>
      </c>
      <c r="AX163" s="186" t="s">
        <v>294</v>
      </c>
      <c r="AY163" s="187" t="s">
        <v>293</v>
      </c>
      <c r="AZ163" s="188">
        <f>IF(AND($AB$30=$F$189,$E$9=$D$188),$AB$20,IF(AND($AB$30=$F$189,$E$9=$D$189),$AB$20*2,0))</f>
        <v>0</v>
      </c>
      <c r="BA163" s="188"/>
      <c r="BC163" s="264">
        <f>IF(Конфигуратор!$E$9=Конфигуратор!$D$190,0,IF(Конфигуратор!$E$5=Конфигуратор!$H$188,SUM(Конфигуратор!AK163,Конфигуратор!AN163,Конфигуратор!AQ163,Конфигуратор!AT163,Конфигуратор!AW163,Конфигуратор!AZ163,SUM(Конфигуратор!$H$20,Конфигуратор!$L$20,Конфигуратор!$P$20,Конфигуратор!$T$20,Конфигуратор!$X$20,Конфигуратор!$AB$20)),SUM(Конфигуратор!AK163,Конфигуратор!AN163,Конфигуратор!AQ163,Конфигуратор!AT163,Конфигуратор!AW163,Конфигуратор!AZ163)))</f>
        <v>0</v>
      </c>
      <c r="BD163" s="2">
        <f>IF(Конфигуратор!$E$9=Конфигуратор!$D$190,0,IF(Конфигуратор!$E$5=Конфигуратор!$H$188,SUM(Конфигуратор!AK163,Конфигуратор!AN163,Конфигуратор!AQ163,Конфигуратор!AT163,Конфигуратор!AW163,Конфигуратор!AZ163,(SUM(Конфигуратор!$H$20,Конфигуратор!$L$20,Конфигуратор!$P$20,Конфигуратор!$T$20,Конфигуратор!$X$20,Конфигуратор!$AB$20))*2),SUM(Конфигуратор!AK163,Конфигуратор!AN163,Конфигуратор!AQ163,Конфигуратор!AT163,Конфигуратор!AW163,Конфигуратор!AZ163)))</f>
        <v>0</v>
      </c>
    </row>
    <row r="164" spans="1:56" ht="63" hidden="1" customHeight="1" thickBot="1" x14ac:dyDescent="0.3">
      <c r="A164" s="2"/>
      <c r="B164" s="213"/>
      <c r="C164" s="163"/>
      <c r="D164" s="181" t="s">
        <v>761</v>
      </c>
      <c r="F164" s="2"/>
      <c r="G164" s="106"/>
      <c r="K164" s="204" t="s">
        <v>849</v>
      </c>
      <c r="AI164" s="186" t="s">
        <v>296</v>
      </c>
      <c r="AJ164" s="187" t="s">
        <v>295</v>
      </c>
      <c r="AK164" s="188">
        <f>IF(AND($H$30=$F$190,$E$9=$D$188),$H$20,IF(AND($H$30=$F$190,$E$9=$D$189),$H$20*2,0))</f>
        <v>0</v>
      </c>
      <c r="AL164" s="186" t="s">
        <v>296</v>
      </c>
      <c r="AM164" s="187" t="s">
        <v>295</v>
      </c>
      <c r="AN164" s="188">
        <f>IF(AND($L$30=$F$190,$E$9=$D$188),$L$20,IF(AND($L$30=$F$190,$E$9=$D$189),$L$20*2,0))</f>
        <v>0</v>
      </c>
      <c r="AO164" s="186" t="s">
        <v>296</v>
      </c>
      <c r="AP164" s="187" t="s">
        <v>295</v>
      </c>
      <c r="AQ164" s="188">
        <f>IF(AND($P$30=$F$190,$E$9=$D$188),$P$20,IF(AND($P$30=$F$190,$E$9=$D$189),$P$20*2,0))</f>
        <v>0</v>
      </c>
      <c r="AR164" s="186" t="s">
        <v>296</v>
      </c>
      <c r="AS164" s="187" t="s">
        <v>295</v>
      </c>
      <c r="AT164" s="188">
        <f>IF(AND($T$30=$F$190,$E$9=$D$188),$T$20,IF(AND($T$30=$F$190,$E$9=$D$189),$T$20*2,0))</f>
        <v>0</v>
      </c>
      <c r="AU164" s="186" t="s">
        <v>296</v>
      </c>
      <c r="AV164" s="187" t="s">
        <v>295</v>
      </c>
      <c r="AW164" s="188">
        <f>IF(AND($X$30=$F$190,$E$9=$D$188),$X$20,IF(AND($X$30=$F$190,$E$9=$D$189),$X$20*2,0))</f>
        <v>0</v>
      </c>
      <c r="AX164" s="186" t="s">
        <v>296</v>
      </c>
      <c r="AY164" s="187" t="s">
        <v>295</v>
      </c>
      <c r="AZ164" s="188">
        <f>IF(AND($AB$30=$F$190,$E$9=$D$188),$AB$20,IF(AND($AB$30=$F$190,$E$9=$D$189),$AB$20*2,0))</f>
        <v>0</v>
      </c>
      <c r="BA164" s="188"/>
      <c r="BC164" s="126">
        <f>IF(Конфигуратор!$E$9=Конфигуратор!$D$190,0,IF(Конфигуратор!$E$5=Конфигуратор!$H$189,SUM(Конфигуратор!AK164,Конфигуратор!AN164,Конфигуратор!AQ164,Конфигуратор!AT164,Конфигуратор!AW164,Конфигуратор!AZ164,SUM(Конфигуратор!$H$20,Конфигуратор!$L$20,Конфигуратор!$P$20,Конфигуратор!$T$20,Конфигуратор!$X$20,Конфигуратор!$AB$20)),SUM(Конфигуратор!AK164,Конфигуратор!AN164,Конфигуратор!AQ164,Конфигуратор!AT164,Конфигуратор!AW164,Конфигуратор!AZ164)))</f>
        <v>0</v>
      </c>
      <c r="BD164" s="2">
        <f>IF(Конфигуратор!$E$9=Конфигуратор!$D$190,0,IF(Конфигуратор!$E$5=Конфигуратор!$H$189,SUM(Конфигуратор!AK164,Конфигуратор!AN164,Конфигуратор!AQ164,Конфигуратор!AT164,Конфигуратор!AW164,Конфигуратор!AZ164,(SUM(Конфигуратор!$H$20,Конфигуратор!$L$20,Конфигуратор!$P$20,Конфигуратор!$T$20,Конфигуратор!$X$20,Конфигуратор!$AB$20))*2),SUM(Конфигуратор!AK164,Конфигуратор!AN164,Конфигуратор!AQ164,Конфигуратор!AT164,Конфигуратор!AW164,Конфигуратор!AZ164)))</f>
        <v>0</v>
      </c>
    </row>
    <row r="165" spans="1:56" ht="63" hidden="1" customHeight="1" thickBot="1" x14ac:dyDescent="0.3">
      <c r="A165" s="2"/>
      <c r="B165" s="213"/>
      <c r="C165" s="163"/>
      <c r="D165" s="181" t="s">
        <v>762</v>
      </c>
      <c r="F165" s="2"/>
      <c r="G165" s="106"/>
      <c r="AI165" s="154" t="s">
        <v>298</v>
      </c>
      <c r="AJ165" s="155" t="s">
        <v>297</v>
      </c>
      <c r="AK165" s="2">
        <f>IF($E$9=$D$188,$H$20,0)</f>
        <v>0</v>
      </c>
      <c r="AL165" s="154" t="s">
        <v>298</v>
      </c>
      <c r="AM165" s="155" t="s">
        <v>297</v>
      </c>
      <c r="AN165" s="2">
        <f>IF($E$9=$D$188,$L$20,0)</f>
        <v>0</v>
      </c>
      <c r="AO165" s="154" t="s">
        <v>298</v>
      </c>
      <c r="AP165" s="155" t="s">
        <v>297</v>
      </c>
      <c r="AQ165" s="2">
        <f>IF($E$9=$D$188,$P$20,0)</f>
        <v>0</v>
      </c>
      <c r="AR165" s="154" t="s">
        <v>298</v>
      </c>
      <c r="AS165" s="155" t="s">
        <v>297</v>
      </c>
      <c r="AT165" s="2">
        <f>IF($E$9=$D$188,$T$20,0)</f>
        <v>0</v>
      </c>
      <c r="AU165" s="154" t="s">
        <v>298</v>
      </c>
      <c r="AV165" s="155" t="s">
        <v>297</v>
      </c>
      <c r="AW165" s="2">
        <f>IF($E$9=$D$188,$X$20,0)</f>
        <v>0</v>
      </c>
      <c r="AX165" s="154" t="s">
        <v>298</v>
      </c>
      <c r="AY165" s="155" t="s">
        <v>297</v>
      </c>
      <c r="AZ165" s="2">
        <f>IF($E$9=$D$188,$AB$20,0)</f>
        <v>0</v>
      </c>
    </row>
    <row r="166" spans="1:56" ht="63" hidden="1" customHeight="1" thickBot="1" x14ac:dyDescent="0.3">
      <c r="A166" s="2"/>
      <c r="B166" s="213"/>
      <c r="C166" s="163"/>
      <c r="D166" s="192" t="s">
        <v>763</v>
      </c>
      <c r="F166" s="2"/>
      <c r="G166" s="106"/>
      <c r="I166" s="180" t="s">
        <v>743</v>
      </c>
      <c r="J166" s="212"/>
      <c r="K166" s="179"/>
      <c r="L166" s="179"/>
      <c r="M166" s="179"/>
      <c r="N166" s="179"/>
      <c r="AI166" s="154" t="s">
        <v>852</v>
      </c>
      <c r="AJ166" s="155" t="s">
        <v>853</v>
      </c>
      <c r="AK166" s="2">
        <f>IF($E$9=$D$189,$H$20,0)</f>
        <v>0</v>
      </c>
      <c r="AL166" s="154" t="s">
        <v>852</v>
      </c>
      <c r="AM166" s="155" t="s">
        <v>853</v>
      </c>
      <c r="AN166" s="2">
        <f>IF($E$9=$D$189,$L$20,0)</f>
        <v>0</v>
      </c>
      <c r="AO166" s="154" t="s">
        <v>852</v>
      </c>
      <c r="AP166" s="155" t="s">
        <v>853</v>
      </c>
      <c r="AQ166" s="2">
        <f>IF($E$9=$D$189,$P$20,0)</f>
        <v>0</v>
      </c>
      <c r="AR166" s="154" t="s">
        <v>852</v>
      </c>
      <c r="AS166" s="155" t="s">
        <v>853</v>
      </c>
      <c r="AT166" s="2">
        <f>IF($E$9=$D$189,$T$20,0)</f>
        <v>0</v>
      </c>
      <c r="AU166" s="154" t="s">
        <v>852</v>
      </c>
      <c r="AV166" s="155" t="s">
        <v>853</v>
      </c>
      <c r="AW166" s="2">
        <f>IF($E$9=$D$189,$X$20,0)</f>
        <v>0</v>
      </c>
      <c r="AX166" s="154" t="s">
        <v>852</v>
      </c>
      <c r="AY166" s="155" t="s">
        <v>853</v>
      </c>
      <c r="AZ166" s="2">
        <f>IF($E$9=$D$189,$AB$20,0)</f>
        <v>0</v>
      </c>
    </row>
    <row r="167" spans="1:56" ht="63" hidden="1" customHeight="1" x14ac:dyDescent="0.25">
      <c r="A167" s="2"/>
      <c r="B167" s="213"/>
      <c r="C167" s="163"/>
      <c r="D167" s="180" t="s">
        <v>744</v>
      </c>
      <c r="E167" s="179"/>
      <c r="F167" s="179"/>
      <c r="G167" s="106"/>
      <c r="I167" s="181">
        <v>1</v>
      </c>
    </row>
    <row r="168" spans="1:56" ht="63" hidden="1" customHeight="1" x14ac:dyDescent="0.25">
      <c r="A168" s="2"/>
      <c r="B168" s="213"/>
      <c r="C168" s="163"/>
      <c r="D168" s="181" t="s">
        <v>962</v>
      </c>
      <c r="F168" s="2"/>
      <c r="G168" s="106"/>
      <c r="I168" s="181">
        <v>2</v>
      </c>
      <c r="AI168" s="193" t="s">
        <v>855</v>
      </c>
      <c r="AJ168" s="194" t="s">
        <v>854</v>
      </c>
      <c r="AK168" s="2">
        <f>IF($E$5=$H$187,SUM($AK$83:$AK$91),0)</f>
        <v>0</v>
      </c>
      <c r="AL168" s="193" t="s">
        <v>855</v>
      </c>
      <c r="AM168" s="194" t="s">
        <v>854</v>
      </c>
      <c r="AN168" s="2">
        <f>IF($E$5=$H$187,SUM($AN$83:$AN$91),0)</f>
        <v>0</v>
      </c>
      <c r="AO168" s="193" t="s">
        <v>855</v>
      </c>
      <c r="AP168" s="194" t="s">
        <v>854</v>
      </c>
      <c r="AQ168" s="2">
        <f>IF($E$5=$H$187,SUM($AQ$83:$AQ$91),0)</f>
        <v>0</v>
      </c>
      <c r="AR168" s="193" t="s">
        <v>855</v>
      </c>
      <c r="AS168" s="194" t="s">
        <v>854</v>
      </c>
      <c r="AT168" s="2">
        <f>IF($E$5=$H$187,SUM($AT$83:$AT$91),0)</f>
        <v>0</v>
      </c>
      <c r="AU168" s="193" t="s">
        <v>855</v>
      </c>
      <c r="AV168" s="194" t="s">
        <v>854</v>
      </c>
      <c r="AW168" s="2">
        <f>IF($E$5=$H$187,SUM($AW$83:$AW$91),0)</f>
        <v>0</v>
      </c>
      <c r="AX168" s="193" t="s">
        <v>855</v>
      </c>
      <c r="AY168" s="194" t="s">
        <v>854</v>
      </c>
      <c r="AZ168" s="2">
        <f>IF($E$5=$H$187,SUM($AZ$83:$AZ$91),0)</f>
        <v>0</v>
      </c>
    </row>
    <row r="169" spans="1:56" ht="63" hidden="1" customHeight="1" x14ac:dyDescent="0.25">
      <c r="A169" s="2"/>
      <c r="B169" s="213"/>
      <c r="C169" s="163"/>
      <c r="D169" s="181" t="s">
        <v>963</v>
      </c>
      <c r="F169" s="2"/>
      <c r="G169" s="106"/>
      <c r="I169" s="181">
        <v>3</v>
      </c>
      <c r="AI169" s="193" t="s">
        <v>916</v>
      </c>
      <c r="AJ169" s="194" t="s">
        <v>914</v>
      </c>
      <c r="AK169" s="2">
        <f>IF($E$5=$H$188,SUM($AK$83:$AK$91),0)</f>
        <v>0</v>
      </c>
      <c r="AL169" s="193" t="s">
        <v>916</v>
      </c>
      <c r="AM169" s="194" t="s">
        <v>914</v>
      </c>
      <c r="AN169" s="2">
        <f>IF($E$5=$H$188,SUM($AN$83:$AN$91),0)</f>
        <v>0</v>
      </c>
      <c r="AO169" s="193" t="s">
        <v>916</v>
      </c>
      <c r="AP169" s="194" t="s">
        <v>914</v>
      </c>
      <c r="AQ169" s="2">
        <f>IF($E$5=$H$188,SUM($AQ$83:$AQ$91),0)</f>
        <v>0</v>
      </c>
      <c r="AR169" s="193" t="s">
        <v>916</v>
      </c>
      <c r="AS169" s="194" t="s">
        <v>914</v>
      </c>
      <c r="AT169" s="2">
        <f>IF($E$5=$H$188,SUM($AT$83:$AT$91),0)</f>
        <v>0</v>
      </c>
      <c r="AU169" s="193" t="s">
        <v>916</v>
      </c>
      <c r="AV169" s="194" t="s">
        <v>914</v>
      </c>
      <c r="AW169" s="2">
        <f>IF($E$5=$H$188,SUM($AW$83:$AW$91),0)</f>
        <v>0</v>
      </c>
      <c r="AX169" s="193" t="s">
        <v>916</v>
      </c>
      <c r="AY169" s="194" t="s">
        <v>914</v>
      </c>
      <c r="AZ169" s="2">
        <f>IF($E$5=$H$188,SUM($AZ$83:$AZ$91),0)</f>
        <v>0</v>
      </c>
    </row>
    <row r="170" spans="1:56" ht="63" hidden="1" customHeight="1" thickBot="1" x14ac:dyDescent="0.3">
      <c r="A170" s="2"/>
      <c r="B170" s="213"/>
      <c r="C170" s="163"/>
      <c r="D170" s="192" t="s">
        <v>764</v>
      </c>
      <c r="F170" s="2"/>
      <c r="G170" s="106"/>
      <c r="I170" s="192">
        <v>4</v>
      </c>
      <c r="AI170" s="193" t="s">
        <v>917</v>
      </c>
      <c r="AJ170" s="194" t="s">
        <v>915</v>
      </c>
      <c r="AK170" s="2">
        <f>IF($E$5=$H$189,SUM($AK$85:$AK$93),0)</f>
        <v>0</v>
      </c>
      <c r="AL170" s="193" t="s">
        <v>917</v>
      </c>
      <c r="AM170" s="194" t="s">
        <v>915</v>
      </c>
      <c r="AN170" s="2">
        <f>IF($E$5=$H$189,SUM($AN$85:$AN$93),0)</f>
        <v>0</v>
      </c>
      <c r="AO170" s="193" t="s">
        <v>917</v>
      </c>
      <c r="AP170" s="194" t="s">
        <v>915</v>
      </c>
      <c r="AQ170" s="2">
        <f>IF($E$5=$H$189,SUM($AQ$85:$AQ$93),0)</f>
        <v>0</v>
      </c>
      <c r="AR170" s="193" t="s">
        <v>917</v>
      </c>
      <c r="AS170" s="194" t="s">
        <v>915</v>
      </c>
      <c r="AT170" s="2">
        <f>IF($E$5=$H$189,SUM($AT$85:$AT$93),0)</f>
        <v>0</v>
      </c>
      <c r="AU170" s="193" t="s">
        <v>917</v>
      </c>
      <c r="AV170" s="194" t="s">
        <v>915</v>
      </c>
      <c r="AW170" s="2">
        <f>IF($E$5=$H$189,SUM($AW$85:$AW$93),0)</f>
        <v>0</v>
      </c>
      <c r="AX170" s="193" t="s">
        <v>917</v>
      </c>
      <c r="AY170" s="194" t="s">
        <v>915</v>
      </c>
      <c r="AZ170" s="2">
        <f>IF($E$5=$H$189,SUM($AZ$85:$AZ$93),0)</f>
        <v>0</v>
      </c>
    </row>
    <row r="171" spans="1:56" ht="63" hidden="1" customHeight="1" x14ac:dyDescent="0.25">
      <c r="A171" s="2"/>
      <c r="B171" s="213"/>
      <c r="C171" s="163"/>
      <c r="D171" s="180" t="s">
        <v>745</v>
      </c>
      <c r="E171" s="179"/>
      <c r="F171" s="179"/>
      <c r="G171" s="106"/>
      <c r="AI171" s="159" t="s">
        <v>708</v>
      </c>
      <c r="AJ171" s="160" t="s">
        <v>707</v>
      </c>
      <c r="AK171" s="161"/>
      <c r="AL171" s="159" t="s">
        <v>708</v>
      </c>
      <c r="AM171" s="160" t="s">
        <v>707</v>
      </c>
      <c r="AN171" s="161"/>
      <c r="AO171" s="159" t="s">
        <v>708</v>
      </c>
      <c r="AP171" s="160" t="s">
        <v>707</v>
      </c>
      <c r="AQ171" s="161"/>
      <c r="AR171" s="159" t="s">
        <v>708</v>
      </c>
      <c r="AS171" s="160" t="s">
        <v>707</v>
      </c>
      <c r="AT171" s="161"/>
      <c r="AU171" s="159" t="s">
        <v>708</v>
      </c>
      <c r="AV171" s="160" t="s">
        <v>707</v>
      </c>
      <c r="AW171" s="161"/>
      <c r="AX171" s="159" t="s">
        <v>708</v>
      </c>
      <c r="AY171" s="160" t="s">
        <v>707</v>
      </c>
      <c r="AZ171" s="161"/>
    </row>
    <row r="172" spans="1:56" ht="63" hidden="1" customHeight="1" x14ac:dyDescent="0.25">
      <c r="A172" s="2"/>
      <c r="B172" s="213"/>
      <c r="C172" s="163"/>
      <c r="D172" s="181" t="s">
        <v>746</v>
      </c>
      <c r="F172" s="2"/>
      <c r="G172" s="106"/>
      <c r="L172" s="179"/>
      <c r="M172" s="179"/>
      <c r="N172" s="179"/>
    </row>
    <row r="173" spans="1:56" ht="63" hidden="1" customHeight="1" thickBot="1" x14ac:dyDescent="0.3">
      <c r="A173" s="2"/>
      <c r="B173" s="213"/>
      <c r="C173" s="163"/>
      <c r="D173" s="181" t="s">
        <v>748</v>
      </c>
      <c r="F173" s="2"/>
      <c r="G173" s="106"/>
    </row>
    <row r="174" spans="1:56" ht="63" hidden="1" customHeight="1" x14ac:dyDescent="0.25">
      <c r="A174" s="2"/>
      <c r="B174" s="213"/>
      <c r="C174" s="163"/>
      <c r="D174" s="180" t="s">
        <v>749</v>
      </c>
      <c r="E174" s="195"/>
      <c r="F174" s="179"/>
      <c r="G174" s="106"/>
    </row>
    <row r="175" spans="1:56" ht="63" hidden="1" customHeight="1" x14ac:dyDescent="0.25">
      <c r="A175" s="2"/>
      <c r="B175" s="213"/>
      <c r="C175" s="163"/>
      <c r="D175" s="181" t="s">
        <v>750</v>
      </c>
      <c r="E175" s="196">
        <v>4</v>
      </c>
      <c r="F175" s="2"/>
      <c r="G175" s="106"/>
    </row>
    <row r="176" spans="1:56" ht="63" hidden="1" customHeight="1" x14ac:dyDescent="0.25">
      <c r="A176" s="2"/>
      <c r="B176" s="213"/>
      <c r="C176" s="163"/>
      <c r="D176" s="181" t="s">
        <v>751</v>
      </c>
      <c r="E176" s="303">
        <v>5</v>
      </c>
      <c r="F176" s="2"/>
      <c r="G176" s="106"/>
    </row>
    <row r="177" spans="1:14" ht="63" hidden="1" customHeight="1" thickBot="1" x14ac:dyDescent="0.3">
      <c r="A177" s="2"/>
      <c r="B177" s="213"/>
      <c r="C177" s="163"/>
      <c r="D177" s="192" t="s">
        <v>752</v>
      </c>
      <c r="E177" s="304"/>
      <c r="F177" s="2"/>
      <c r="G177" s="106"/>
    </row>
    <row r="178" spans="1:14" ht="63" hidden="1" customHeight="1" x14ac:dyDescent="0.25">
      <c r="A178" s="2"/>
      <c r="B178" s="213"/>
      <c r="C178" s="163"/>
      <c r="D178" s="197" t="s">
        <v>753</v>
      </c>
      <c r="E178" s="179"/>
      <c r="F178" s="179"/>
      <c r="G178" s="106"/>
    </row>
    <row r="179" spans="1:14" ht="63" hidden="1" customHeight="1" x14ac:dyDescent="0.25">
      <c r="A179" s="2"/>
      <c r="B179" s="213"/>
      <c r="C179" s="163"/>
      <c r="D179" s="181" t="s">
        <v>850</v>
      </c>
      <c r="F179" s="2"/>
      <c r="G179" s="106"/>
    </row>
    <row r="180" spans="1:14" ht="63" hidden="1" customHeight="1" thickBot="1" x14ac:dyDescent="0.3">
      <c r="A180" s="2"/>
      <c r="B180" s="213"/>
      <c r="C180" s="163"/>
      <c r="D180" s="192" t="s">
        <v>754</v>
      </c>
      <c r="F180" s="2"/>
      <c r="G180" s="106"/>
      <c r="J180" s="212"/>
      <c r="K180" s="179"/>
      <c r="L180" s="179"/>
      <c r="M180" s="179"/>
      <c r="N180" s="179"/>
    </row>
    <row r="181" spans="1:14" ht="63" hidden="1" customHeight="1" x14ac:dyDescent="0.25">
      <c r="A181" s="2"/>
      <c r="B181" s="213"/>
      <c r="C181" s="163"/>
      <c r="D181" s="180" t="s">
        <v>756</v>
      </c>
      <c r="E181" s="179"/>
      <c r="F181" s="179"/>
      <c r="G181" s="106"/>
    </row>
    <row r="182" spans="1:14" ht="63" hidden="1" customHeight="1" x14ac:dyDescent="0.25">
      <c r="A182" s="2"/>
      <c r="B182" s="213"/>
      <c r="C182" s="163"/>
      <c r="D182" s="181" t="s">
        <v>757</v>
      </c>
      <c r="F182" s="2"/>
      <c r="G182" s="106">
        <v>1000</v>
      </c>
    </row>
    <row r="183" spans="1:14" ht="63" hidden="1" customHeight="1" thickBot="1" x14ac:dyDescent="0.3">
      <c r="A183" s="2"/>
      <c r="B183" s="213"/>
      <c r="C183" s="163"/>
      <c r="D183" s="192" t="s">
        <v>758</v>
      </c>
      <c r="F183" s="2"/>
      <c r="G183" s="106">
        <v>370</v>
      </c>
    </row>
    <row r="184" spans="1:14" ht="63" hidden="1" customHeight="1" x14ac:dyDescent="0.25">
      <c r="A184" s="2"/>
      <c r="B184" s="213"/>
      <c r="C184" s="163"/>
      <c r="D184" s="180" t="s">
        <v>727</v>
      </c>
    </row>
    <row r="185" spans="1:14" ht="63" hidden="1" customHeight="1" thickBot="1" x14ac:dyDescent="0.3">
      <c r="A185" s="2"/>
      <c r="B185" s="213"/>
      <c r="C185" s="163"/>
      <c r="D185" s="181" t="s">
        <v>759</v>
      </c>
    </row>
    <row r="186" spans="1:14" ht="63" hidden="1" customHeight="1" thickBot="1" x14ac:dyDescent="0.3">
      <c r="A186" s="2"/>
      <c r="B186" s="213"/>
      <c r="C186" s="163"/>
      <c r="D186" s="192" t="s">
        <v>760</v>
      </c>
      <c r="F186" s="198" t="s">
        <v>747</v>
      </c>
      <c r="G186" s="199" t="s">
        <v>771</v>
      </c>
      <c r="H186" s="195" t="s">
        <v>772</v>
      </c>
    </row>
    <row r="187" spans="1:14" ht="63" hidden="1" customHeight="1" x14ac:dyDescent="0.25">
      <c r="A187" s="2"/>
      <c r="B187" s="213"/>
      <c r="C187" s="163"/>
      <c r="D187" s="180" t="s">
        <v>833</v>
      </c>
      <c r="F187" s="200">
        <v>300</v>
      </c>
      <c r="G187" s="2">
        <v>1800</v>
      </c>
      <c r="H187" s="201">
        <v>400</v>
      </c>
    </row>
    <row r="188" spans="1:14" ht="63" hidden="1" customHeight="1" x14ac:dyDescent="0.25">
      <c r="A188" s="2"/>
      <c r="B188" s="213"/>
      <c r="C188" s="163"/>
      <c r="D188" s="181" t="s">
        <v>832</v>
      </c>
      <c r="F188" s="200">
        <v>400</v>
      </c>
      <c r="G188" s="2">
        <v>2000</v>
      </c>
      <c r="H188" s="201">
        <v>600</v>
      </c>
    </row>
    <row r="189" spans="1:14" ht="63" hidden="1" customHeight="1" x14ac:dyDescent="0.25">
      <c r="A189" s="2"/>
      <c r="B189" s="213"/>
      <c r="C189" s="163"/>
      <c r="D189" s="181" t="s">
        <v>913</v>
      </c>
      <c r="F189" s="200">
        <v>600</v>
      </c>
      <c r="G189" s="2">
        <v>2200</v>
      </c>
      <c r="H189" s="201">
        <v>800</v>
      </c>
    </row>
    <row r="190" spans="1:14" ht="63" hidden="1" customHeight="1" thickBot="1" x14ac:dyDescent="0.3">
      <c r="A190" s="2"/>
      <c r="B190" s="213"/>
      <c r="C190" s="163"/>
      <c r="D190" s="192" t="s">
        <v>834</v>
      </c>
      <c r="F190" s="202">
        <v>800</v>
      </c>
      <c r="G190" s="203"/>
      <c r="H190" s="204"/>
    </row>
    <row r="191" spans="1:14" ht="63" hidden="1" customHeight="1" x14ac:dyDescent="0.25">
      <c r="A191" s="2"/>
      <c r="B191" s="213"/>
      <c r="C191" s="163"/>
      <c r="D191" s="180" t="s">
        <v>755</v>
      </c>
      <c r="F191" s="2"/>
    </row>
    <row r="192" spans="1:14" ht="63" hidden="1" customHeight="1" x14ac:dyDescent="0.25">
      <c r="A192" s="2"/>
      <c r="B192" s="213"/>
      <c r="C192" s="163"/>
      <c r="D192" s="181">
        <v>31</v>
      </c>
      <c r="F192" s="2"/>
      <c r="G192" s="106"/>
    </row>
    <row r="193" spans="1:7" ht="63" hidden="1" customHeight="1" thickBot="1" x14ac:dyDescent="0.3">
      <c r="A193" s="2"/>
      <c r="B193" s="213"/>
      <c r="C193" s="163"/>
      <c r="D193" s="192">
        <v>55</v>
      </c>
      <c r="F193" s="2"/>
      <c r="G193" s="106"/>
    </row>
    <row r="194" spans="1:7" ht="63" hidden="1" customHeight="1" x14ac:dyDescent="0.25">
      <c r="A194" s="2"/>
      <c r="B194" s="213"/>
      <c r="C194" s="163"/>
      <c r="F194" s="2"/>
      <c r="G194" s="106"/>
    </row>
    <row r="195" spans="1:7" ht="63" hidden="1" customHeight="1" x14ac:dyDescent="0.25">
      <c r="A195" s="2"/>
      <c r="B195" s="213"/>
      <c r="C195" s="163"/>
      <c r="F195" s="2"/>
      <c r="G195" s="106"/>
    </row>
    <row r="196" spans="1:7" ht="63" hidden="1" customHeight="1" x14ac:dyDescent="0.25">
      <c r="A196" s="2"/>
      <c r="F196" s="2"/>
    </row>
    <row r="197" spans="1:7" ht="63" hidden="1" customHeight="1" x14ac:dyDescent="0.25">
      <c r="A197" s="2"/>
      <c r="F197" s="2"/>
    </row>
    <row r="198" spans="1:7" ht="63" hidden="1" customHeight="1" x14ac:dyDescent="0.25">
      <c r="A198" s="2"/>
      <c r="F198" s="2"/>
    </row>
    <row r="199" spans="1:7" ht="63" hidden="1" customHeight="1" x14ac:dyDescent="0.25">
      <c r="A199" s="2"/>
      <c r="F199" s="2"/>
    </row>
    <row r="200" spans="1:7" ht="63" hidden="1" customHeight="1" x14ac:dyDescent="0.25">
      <c r="A200" s="2"/>
      <c r="F200" s="2"/>
    </row>
    <row r="201" spans="1:7" ht="63" hidden="1" customHeight="1" x14ac:dyDescent="0.25">
      <c r="A201" s="2"/>
      <c r="F201" s="2"/>
    </row>
    <row r="1048576" ht="15" hidden="1" x14ac:dyDescent="0.25"/>
  </sheetData>
  <sheetProtection algorithmName="SHA-512" hashValue="ZHsmbCW65r5gGY12aeY1dlGB6YzoRmabBr0wRKuKfg44NkNv+65ERTKmNFVxxunUpf7ilN3eusYjwAtJ2NTXrQ==" saltValue="wMcG71FNiBfaJzxZVVV6sg==" spinCount="100000" sheet="1" objects="1" scenarios="1"/>
  <mergeCells count="417">
    <mergeCell ref="C85:D85"/>
    <mergeCell ref="C88:D89"/>
    <mergeCell ref="E79:I79"/>
    <mergeCell ref="C86:D87"/>
    <mergeCell ref="E111:I111"/>
    <mergeCell ref="E112:I112"/>
    <mergeCell ref="B72:J72"/>
    <mergeCell ref="A72:A112"/>
    <mergeCell ref="B25:C65"/>
    <mergeCell ref="D25:D29"/>
    <mergeCell ref="E80:I80"/>
    <mergeCell ref="E81:I81"/>
    <mergeCell ref="E82:I82"/>
    <mergeCell ref="E83:I83"/>
    <mergeCell ref="E84:I84"/>
    <mergeCell ref="E85:I85"/>
    <mergeCell ref="E86:I86"/>
    <mergeCell ref="E87:I87"/>
    <mergeCell ref="E88:I88"/>
    <mergeCell ref="E89:I89"/>
    <mergeCell ref="E90:I90"/>
    <mergeCell ref="E91:I91"/>
    <mergeCell ref="C77:D78"/>
    <mergeCell ref="C79:D80"/>
    <mergeCell ref="C81:D82"/>
    <mergeCell ref="C83:D84"/>
    <mergeCell ref="K112:AB112"/>
    <mergeCell ref="E92:I92"/>
    <mergeCell ref="E93:I93"/>
    <mergeCell ref="E94:I94"/>
    <mergeCell ref="E95:I95"/>
    <mergeCell ref="E96:I96"/>
    <mergeCell ref="E97:I97"/>
    <mergeCell ref="E98:I98"/>
    <mergeCell ref="E99:I99"/>
    <mergeCell ref="E100:I100"/>
    <mergeCell ref="C110:D110"/>
    <mergeCell ref="E108:I108"/>
    <mergeCell ref="E109:I109"/>
    <mergeCell ref="E110:I110"/>
    <mergeCell ref="J108:J109"/>
    <mergeCell ref="C96:D97"/>
    <mergeCell ref="C98:D99"/>
    <mergeCell ref="C100:D101"/>
    <mergeCell ref="C102:D103"/>
    <mergeCell ref="C104:D105"/>
    <mergeCell ref="C106:D107"/>
    <mergeCell ref="C108:D109"/>
    <mergeCell ref="C75:D76"/>
    <mergeCell ref="M36:P36"/>
    <mergeCell ref="Q36:T36"/>
    <mergeCell ref="U36:X36"/>
    <mergeCell ref="Y36:AB36"/>
    <mergeCell ref="M61:P61"/>
    <mergeCell ref="Q61:T61"/>
    <mergeCell ref="U61:X61"/>
    <mergeCell ref="Y61:AB61"/>
    <mergeCell ref="Y38:AA38"/>
    <mergeCell ref="Y39:AA39"/>
    <mergeCell ref="Y62:AA62"/>
    <mergeCell ref="Y63:AA63"/>
    <mergeCell ref="Y64:AA64"/>
    <mergeCell ref="Y65:AA65"/>
    <mergeCell ref="U59:W59"/>
    <mergeCell ref="K72:AB111"/>
    <mergeCell ref="C111:D112"/>
    <mergeCell ref="E73:I73"/>
    <mergeCell ref="E74:I74"/>
    <mergeCell ref="E75:I75"/>
    <mergeCell ref="E76:I76"/>
    <mergeCell ref="E77:I77"/>
    <mergeCell ref="E78:I78"/>
    <mergeCell ref="B23:C23"/>
    <mergeCell ref="C7:D7"/>
    <mergeCell ref="C8:D8"/>
    <mergeCell ref="C9:D9"/>
    <mergeCell ref="C10:D10"/>
    <mergeCell ref="D30:D65"/>
    <mergeCell ref="A66:AB66"/>
    <mergeCell ref="A18:AB18"/>
    <mergeCell ref="C73:D74"/>
    <mergeCell ref="D11:D12"/>
    <mergeCell ref="F11:G11"/>
    <mergeCell ref="F12:G12"/>
    <mergeCell ref="H15:H17"/>
    <mergeCell ref="E16:G16"/>
    <mergeCell ref="E17:G17"/>
    <mergeCell ref="C15:D15"/>
    <mergeCell ref="C16:D16"/>
    <mergeCell ref="C17:D17"/>
    <mergeCell ref="E40:H40"/>
    <mergeCell ref="I40:L40"/>
    <mergeCell ref="I34:K34"/>
    <mergeCell ref="E57:G57"/>
    <mergeCell ref="I62:K62"/>
    <mergeCell ref="I56:K56"/>
    <mergeCell ref="C3:D3"/>
    <mergeCell ref="C4:D4"/>
    <mergeCell ref="B21:C21"/>
    <mergeCell ref="B22:C22"/>
    <mergeCell ref="A19:A65"/>
    <mergeCell ref="E61:H61"/>
    <mergeCell ref="I61:L61"/>
    <mergeCell ref="I63:K63"/>
    <mergeCell ref="I64:K64"/>
    <mergeCell ref="I65:K65"/>
    <mergeCell ref="I53:K53"/>
    <mergeCell ref="I54:K54"/>
    <mergeCell ref="E54:G54"/>
    <mergeCell ref="E51:H51"/>
    <mergeCell ref="E36:H36"/>
    <mergeCell ref="E55:H55"/>
    <mergeCell ref="I19:K19"/>
    <mergeCell ref="I20:K20"/>
    <mergeCell ref="I32:K32"/>
    <mergeCell ref="I36:L36"/>
    <mergeCell ref="I35:K35"/>
    <mergeCell ref="I37:K37"/>
    <mergeCell ref="I33:K33"/>
    <mergeCell ref="E53:G53"/>
    <mergeCell ref="A1:AB1"/>
    <mergeCell ref="B100:B101"/>
    <mergeCell ref="U19:W19"/>
    <mergeCell ref="U20:W20"/>
    <mergeCell ref="V22:X26"/>
    <mergeCell ref="U28:X28"/>
    <mergeCell ref="U29:X29"/>
    <mergeCell ref="U30:W30"/>
    <mergeCell ref="U31:W31"/>
    <mergeCell ref="U32:W32"/>
    <mergeCell ref="U33:W33"/>
    <mergeCell ref="U34:W34"/>
    <mergeCell ref="U35:W35"/>
    <mergeCell ref="U37:W37"/>
    <mergeCell ref="U38:W38"/>
    <mergeCell ref="U39:W39"/>
    <mergeCell ref="U50:W50"/>
    <mergeCell ref="C5:D5"/>
    <mergeCell ref="C6:D6"/>
    <mergeCell ref="J86:J87"/>
    <mergeCell ref="A2:A17"/>
    <mergeCell ref="B19:C20"/>
    <mergeCell ref="B24:C24"/>
    <mergeCell ref="F13:G13"/>
    <mergeCell ref="I57:K57"/>
    <mergeCell ref="I58:K58"/>
    <mergeCell ref="Y58:AA58"/>
    <mergeCell ref="Y59:AA59"/>
    <mergeCell ref="Q62:S62"/>
    <mergeCell ref="M62:O62"/>
    <mergeCell ref="Q63:S63"/>
    <mergeCell ref="M63:O63"/>
    <mergeCell ref="B106:B107"/>
    <mergeCell ref="E101:I101"/>
    <mergeCell ref="E102:I102"/>
    <mergeCell ref="E103:I103"/>
    <mergeCell ref="E104:I104"/>
    <mergeCell ref="E105:I105"/>
    <mergeCell ref="E106:I106"/>
    <mergeCell ref="E107:I107"/>
    <mergeCell ref="J96:J97"/>
    <mergeCell ref="J98:J99"/>
    <mergeCell ref="J100:J101"/>
    <mergeCell ref="J102:J103"/>
    <mergeCell ref="J104:J105"/>
    <mergeCell ref="J106:J107"/>
    <mergeCell ref="Q65:S65"/>
    <mergeCell ref="U68:W68"/>
    <mergeCell ref="B108:B109"/>
    <mergeCell ref="B111:B112"/>
    <mergeCell ref="B96:B97"/>
    <mergeCell ref="B73:B74"/>
    <mergeCell ref="B75:B76"/>
    <mergeCell ref="B77:B78"/>
    <mergeCell ref="B79:B80"/>
    <mergeCell ref="B83:B84"/>
    <mergeCell ref="B98:B99"/>
    <mergeCell ref="B102:B103"/>
    <mergeCell ref="B104:B105"/>
    <mergeCell ref="B86:B87"/>
    <mergeCell ref="B90:B91"/>
    <mergeCell ref="B88:B89"/>
    <mergeCell ref="B92:B93"/>
    <mergeCell ref="B94:B95"/>
    <mergeCell ref="B81:B82"/>
    <mergeCell ref="Q68:S68"/>
    <mergeCell ref="Q69:S69"/>
    <mergeCell ref="M54:O54"/>
    <mergeCell ref="U60:W60"/>
    <mergeCell ref="U62:W62"/>
    <mergeCell ref="U63:W63"/>
    <mergeCell ref="U64:W64"/>
    <mergeCell ref="U65:W65"/>
    <mergeCell ref="M65:O65"/>
    <mergeCell ref="M68:O68"/>
    <mergeCell ref="M69:O69"/>
    <mergeCell ref="M64:O64"/>
    <mergeCell ref="Q60:S60"/>
    <mergeCell ref="Q59:S59"/>
    <mergeCell ref="M56:O56"/>
    <mergeCell ref="J92:J93"/>
    <mergeCell ref="C90:D91"/>
    <mergeCell ref="C92:D93"/>
    <mergeCell ref="C94:D95"/>
    <mergeCell ref="AU17:AW17"/>
    <mergeCell ref="AX17:AZ17"/>
    <mergeCell ref="M151:R151"/>
    <mergeCell ref="I51:L51"/>
    <mergeCell ref="M51:P51"/>
    <mergeCell ref="Q51:T51"/>
    <mergeCell ref="U51:X51"/>
    <mergeCell ref="Y51:AB51"/>
    <mergeCell ref="J75:J76"/>
    <mergeCell ref="J77:J78"/>
    <mergeCell ref="J79:J80"/>
    <mergeCell ref="J81:J82"/>
    <mergeCell ref="J83:J84"/>
    <mergeCell ref="J88:J89"/>
    <mergeCell ref="Y60:AA60"/>
    <mergeCell ref="J111:J112"/>
    <mergeCell ref="J94:J95"/>
    <mergeCell ref="Y33:AA33"/>
    <mergeCell ref="Y68:AA68"/>
    <mergeCell ref="U69:W69"/>
    <mergeCell ref="Y34:AA34"/>
    <mergeCell ref="Y35:AA35"/>
    <mergeCell ref="Y37:AA37"/>
    <mergeCell ref="AO17:AQ17"/>
    <mergeCell ref="M31:O31"/>
    <mergeCell ref="M32:O32"/>
    <mergeCell ref="M33:O33"/>
    <mergeCell ref="Q54:S54"/>
    <mergeCell ref="Q20:S20"/>
    <mergeCell ref="R22:T26"/>
    <mergeCell ref="Q28:T28"/>
    <mergeCell ref="Q29:T29"/>
    <mergeCell ref="Q30:S30"/>
    <mergeCell ref="Q31:S31"/>
    <mergeCell ref="Q32:S32"/>
    <mergeCell ref="Q33:S33"/>
    <mergeCell ref="M29:P29"/>
    <mergeCell ref="M53:O53"/>
    <mergeCell ref="Q34:S34"/>
    <mergeCell ref="Q35:S35"/>
    <mergeCell ref="Q37:S37"/>
    <mergeCell ref="Q38:S38"/>
    <mergeCell ref="Q39:S39"/>
    <mergeCell ref="Q50:S50"/>
    <mergeCell ref="AR17:AT17"/>
    <mergeCell ref="Q56:S56"/>
    <mergeCell ref="Q57:S57"/>
    <mergeCell ref="Q58:S58"/>
    <mergeCell ref="AI17:AK17"/>
    <mergeCell ref="Y50:AA50"/>
    <mergeCell ref="Y52:AA52"/>
    <mergeCell ref="Y53:AA53"/>
    <mergeCell ref="Y54:AA54"/>
    <mergeCell ref="Y56:AA56"/>
    <mergeCell ref="Y57:AA57"/>
    <mergeCell ref="Y19:AA19"/>
    <mergeCell ref="Y20:AA20"/>
    <mergeCell ref="Z22:AB26"/>
    <mergeCell ref="Y28:AB28"/>
    <mergeCell ref="Y29:AB29"/>
    <mergeCell ref="Y30:AA30"/>
    <mergeCell ref="Y31:AA31"/>
    <mergeCell ref="Y32:AA32"/>
    <mergeCell ref="Y55:AB55"/>
    <mergeCell ref="U52:W52"/>
    <mergeCell ref="U53:W53"/>
    <mergeCell ref="U54:W54"/>
    <mergeCell ref="Q19:S19"/>
    <mergeCell ref="Q52:S52"/>
    <mergeCell ref="M34:O34"/>
    <mergeCell ref="M35:O35"/>
    <mergeCell ref="M37:O37"/>
    <mergeCell ref="M38:O38"/>
    <mergeCell ref="M39:O39"/>
    <mergeCell ref="M50:O50"/>
    <mergeCell ref="M40:P40"/>
    <mergeCell ref="Q40:T40"/>
    <mergeCell ref="Q42:S42"/>
    <mergeCell ref="Q43:S43"/>
    <mergeCell ref="Q44:S44"/>
    <mergeCell ref="M52:O52"/>
    <mergeCell ref="E15:G15"/>
    <mergeCell ref="AL17:AN17"/>
    <mergeCell ref="F22:H26"/>
    <mergeCell ref="E19:G19"/>
    <mergeCell ref="E20:G20"/>
    <mergeCell ref="E50:G50"/>
    <mergeCell ref="E37:G37"/>
    <mergeCell ref="E38:G38"/>
    <mergeCell ref="E39:G39"/>
    <mergeCell ref="E35:G35"/>
    <mergeCell ref="E30:G30"/>
    <mergeCell ref="E28:H28"/>
    <mergeCell ref="E29:H29"/>
    <mergeCell ref="E31:G31"/>
    <mergeCell ref="E32:G32"/>
    <mergeCell ref="E33:G33"/>
    <mergeCell ref="J22:L26"/>
    <mergeCell ref="I28:L28"/>
    <mergeCell ref="I29:L29"/>
    <mergeCell ref="I30:K30"/>
    <mergeCell ref="I31:K31"/>
    <mergeCell ref="M20:O20"/>
    <mergeCell ref="N22:P26"/>
    <mergeCell ref="M28:P28"/>
    <mergeCell ref="Y44:AA44"/>
    <mergeCell ref="B2:G2"/>
    <mergeCell ref="E11:E12"/>
    <mergeCell ref="E62:G62"/>
    <mergeCell ref="E63:G63"/>
    <mergeCell ref="E64:G64"/>
    <mergeCell ref="E65:G65"/>
    <mergeCell ref="E56:G56"/>
    <mergeCell ref="B14:G14"/>
    <mergeCell ref="E34:G34"/>
    <mergeCell ref="E58:G58"/>
    <mergeCell ref="E59:G59"/>
    <mergeCell ref="E60:G60"/>
    <mergeCell ref="E46:G46"/>
    <mergeCell ref="E47:G47"/>
    <mergeCell ref="C13:E13"/>
    <mergeCell ref="E3:G3"/>
    <mergeCell ref="E4:G4"/>
    <mergeCell ref="E5:G5"/>
    <mergeCell ref="E6:G6"/>
    <mergeCell ref="E7:G7"/>
    <mergeCell ref="E8:G8"/>
    <mergeCell ref="E9:G9"/>
    <mergeCell ref="E10:G10"/>
    <mergeCell ref="E41:G41"/>
    <mergeCell ref="E42:G42"/>
    <mergeCell ref="E43:G43"/>
    <mergeCell ref="E44:G44"/>
    <mergeCell ref="I41:K41"/>
    <mergeCell ref="I42:K42"/>
    <mergeCell ref="I43:K43"/>
    <mergeCell ref="I44:K44"/>
    <mergeCell ref="M41:O41"/>
    <mergeCell ref="M42:O42"/>
    <mergeCell ref="M43:O43"/>
    <mergeCell ref="M44:O44"/>
    <mergeCell ref="E176:E177"/>
    <mergeCell ref="E48:G48"/>
    <mergeCell ref="I48:K48"/>
    <mergeCell ref="M48:O48"/>
    <mergeCell ref="Q48:S48"/>
    <mergeCell ref="U48:W48"/>
    <mergeCell ref="Y48:AA48"/>
    <mergeCell ref="E49:G49"/>
    <mergeCell ref="I49:K49"/>
    <mergeCell ref="M49:O49"/>
    <mergeCell ref="Q49:S49"/>
    <mergeCell ref="U49:W49"/>
    <mergeCell ref="Y49:AA49"/>
    <mergeCell ref="I69:K69"/>
    <mergeCell ref="E68:G68"/>
    <mergeCell ref="E69:G69"/>
    <mergeCell ref="Y69:AA69"/>
    <mergeCell ref="U57:W57"/>
    <mergeCell ref="U58:W58"/>
    <mergeCell ref="M57:O57"/>
    <mergeCell ref="M58:O58"/>
    <mergeCell ref="M59:O59"/>
    <mergeCell ref="M60:O60"/>
    <mergeCell ref="J90:J91"/>
    <mergeCell ref="E52:G52"/>
    <mergeCell ref="U56:W56"/>
    <mergeCell ref="I6:V7"/>
    <mergeCell ref="I10:T11"/>
    <mergeCell ref="I47:K47"/>
    <mergeCell ref="M47:O47"/>
    <mergeCell ref="Q47:S47"/>
    <mergeCell ref="U47:W47"/>
    <mergeCell ref="Q64:S64"/>
    <mergeCell ref="I59:K59"/>
    <mergeCell ref="I60:K60"/>
    <mergeCell ref="M55:P55"/>
    <mergeCell ref="I55:L55"/>
    <mergeCell ref="Q55:T55"/>
    <mergeCell ref="U55:X55"/>
    <mergeCell ref="I46:K46"/>
    <mergeCell ref="M46:O46"/>
    <mergeCell ref="Q46:S46"/>
    <mergeCell ref="U46:W46"/>
    <mergeCell ref="I15:AB15"/>
    <mergeCell ref="E45:H45"/>
    <mergeCell ref="I45:L45"/>
    <mergeCell ref="M45:P45"/>
    <mergeCell ref="Q45:T45"/>
    <mergeCell ref="I16:AB16"/>
    <mergeCell ref="I17:AB17"/>
    <mergeCell ref="I38:K38"/>
    <mergeCell ref="I39:K39"/>
    <mergeCell ref="M19:O19"/>
    <mergeCell ref="M30:O30"/>
    <mergeCell ref="I68:K68"/>
    <mergeCell ref="Q53:S53"/>
    <mergeCell ref="I50:K50"/>
    <mergeCell ref="I52:K52"/>
    <mergeCell ref="U45:X45"/>
    <mergeCell ref="Y45:AB45"/>
    <mergeCell ref="Y46:AA46"/>
    <mergeCell ref="Y47:AA47"/>
    <mergeCell ref="Y40:AB40"/>
    <mergeCell ref="Q41:S41"/>
    <mergeCell ref="U40:X40"/>
    <mergeCell ref="U41:W41"/>
    <mergeCell ref="U42:W42"/>
    <mergeCell ref="U43:W43"/>
    <mergeCell ref="U44:W44"/>
    <mergeCell ref="Y41:AA41"/>
    <mergeCell ref="Y42:AA42"/>
    <mergeCell ref="Y43:AA43"/>
  </mergeCells>
  <phoneticPr fontId="7" type="noConversion"/>
  <conditionalFormatting sqref="D19:D20 B19">
    <cfRule type="expression" dxfId="17" priority="23">
      <formula>$D$20&lt;&gt;0</formula>
    </cfRule>
    <cfRule type="expression" dxfId="16" priority="24">
      <formula>$D$20=0</formula>
    </cfRule>
  </conditionalFormatting>
  <conditionalFormatting sqref="E19:H27">
    <cfRule type="expression" dxfId="15" priority="21">
      <formula>$H$20&lt;&gt;0</formula>
    </cfRule>
  </conditionalFormatting>
  <conditionalFormatting sqref="E19:H29">
    <cfRule type="expression" dxfId="14" priority="22">
      <formula>$H$20=0</formula>
    </cfRule>
  </conditionalFormatting>
  <conditionalFormatting sqref="I19:L27">
    <cfRule type="expression" dxfId="13" priority="17">
      <formula>$L$20&lt;&gt;0</formula>
    </cfRule>
  </conditionalFormatting>
  <conditionalFormatting sqref="I19:L29">
    <cfRule type="expression" dxfId="12" priority="18">
      <formula>$L$20=0</formula>
    </cfRule>
  </conditionalFormatting>
  <conditionalFormatting sqref="M19:P27">
    <cfRule type="expression" dxfId="11" priority="13">
      <formula>$P$20&lt;&gt;0</formula>
    </cfRule>
  </conditionalFormatting>
  <conditionalFormatting sqref="M19:P29">
    <cfRule type="expression" dxfId="10" priority="14">
      <formula>$P$20=0</formula>
    </cfRule>
  </conditionalFormatting>
  <conditionalFormatting sqref="Q19:T27">
    <cfRule type="expression" dxfId="9" priority="9">
      <formula>$T$20&lt;&gt;0</formula>
    </cfRule>
  </conditionalFormatting>
  <conditionalFormatting sqref="Q19:T29">
    <cfRule type="expression" dxfId="8" priority="10">
      <formula>$T$20=0</formula>
    </cfRule>
  </conditionalFormatting>
  <conditionalFormatting sqref="U19:X27">
    <cfRule type="expression" dxfId="7" priority="5">
      <formula>$X$20&lt;&gt;0</formula>
    </cfRule>
  </conditionalFormatting>
  <conditionalFormatting sqref="U19:X29">
    <cfRule type="expression" dxfId="6" priority="6">
      <formula>$X$20=0</formula>
    </cfRule>
  </conditionalFormatting>
  <conditionalFormatting sqref="Y19:AB27 AH19:AH27">
    <cfRule type="expression" dxfId="5" priority="50">
      <formula>$AB$20&lt;&gt;0</formula>
    </cfRule>
  </conditionalFormatting>
  <conditionalFormatting sqref="Y19:AB29 AH19:AH29">
    <cfRule type="expression" dxfId="4" priority="52">
      <formula>$AB$20=0</formula>
    </cfRule>
  </conditionalFormatting>
  <conditionalFormatting sqref="E28:AB28 AH28">
    <cfRule type="expression" dxfId="3" priority="60">
      <formula>$E$9=$D$188</formula>
    </cfRule>
  </conditionalFormatting>
  <conditionalFormatting sqref="E28:AB29 AH28:AH29">
    <cfRule type="expression" dxfId="2" priority="62">
      <formula>$E$9=$D$190</formula>
    </cfRule>
    <cfRule type="expression" dxfId="1" priority="63">
      <formula>$E$9=$D$189</formula>
    </cfRule>
  </conditionalFormatting>
  <conditionalFormatting sqref="E29:AB29 AH29">
    <cfRule type="expression" dxfId="0" priority="66">
      <formula>$E$9=$D$188</formula>
    </cfRule>
  </conditionalFormatting>
  <dataValidations xWindow="560" yWindow="459" count="27">
    <dataValidation allowBlank="1" showInputMessage="1" showErrorMessage="1" promptTitle="Только для расчета шин" prompt="Компания EKF не производит шинные мосты._x000a_Этот компонент используется только для примерного расчета перехода шин от силового трансформатора!" sqref="B19:D24" xr:uid="{B8C405A3-8470-48FD-9F13-D4944285AC44}"/>
    <dataValidation allowBlank="1" showInputMessage="1" showErrorMessage="1" promptTitle="Ток аппарата" prompt="Заполните значение тока установленных аппаратов_x000a_В случае с Вводным и Секционным шкафами значение равно току магистрали_x000a_" sqref="F21:H21 E21:E26 I21:I26 AH27 N21:P21 J21:L21 R21:T21 Q21:Q26 V21:X21 U21:U26 Y21:Y26 Z21:AB21 AH21 E27:AB27 M21:M26" xr:uid="{3017A176-503D-4406-95F0-698E8BEEA37D}"/>
    <dataValidation type="list" allowBlank="1" showInputMessage="1" showErrorMessage="1" promptTitle="Внимание!" prompt="Коструктив AleSta предполагает класс IP55 по умолчанию._x000a_" sqref="E6" xr:uid="{B44554A0-604A-47DC-B29C-BFF4DC00EB51}">
      <formula1>$D$192:$D$193</formula1>
    </dataValidation>
    <dataValidation allowBlank="1" showInputMessage="1" showErrorMessage="1" promptTitle="Внимание!" prompt="Если в расчете присутствуют различные типы шкафов (не отдельностоящие корпуса), по умолчанию заложен 1 комплект из 2 панелей на НКУ._x000a_Введите дополнительные комплекты при необходимости." sqref="E8" xr:uid="{743A0337-970B-4A9D-8E32-DDA0BD29ADAF}"/>
    <dataValidation allowBlank="1" showInputMessage="1" showErrorMessage="1" promptTitle="Введите кол-во" prompt="в шт." sqref="T67 H62:H64 L67 P67 X67 H50 H34:H35 H52:H54 AH36:AH52 L50 P50 T50 L56:L60 AH54:AH69 X50 L34:L35 P34:P35 T34:T35 X34:X35 AB34:AB35 T56:T60 AB50 H56:H60 P56:P60 AB62:AB64 X62:X64 P62:P64 L62:L64 X56:X60 T62:T64 AB67 P52:P54 L52:L54 T52:T54 X52:X54 AB52:AB54 AB56:AB60" xr:uid="{C57F8A65-3D5F-43D0-AC4D-E1B88CE4F07F}"/>
    <dataValidation allowBlank="1" showInputMessage="1" showErrorMessage="1" promptTitle="Кол-во посчитанное" prompt="в кг" sqref="H69 H32:H33 L69 L32:L33 P69 P32:P33 T69 T32:T33 X69 X32:X33 AB69 AH35 AB32:AB33 AH32:AH33" xr:uid="{886D1EB6-F1E1-4BD9-A5B6-097915CDA3D7}"/>
    <dataValidation allowBlank="1" showInputMessage="1" showErrorMessage="1" promptTitle="Внимание!" prompt="С введением нового типа шкафа, расчет идет не отдельностоящих корпусов, а линейно-соединенных шкафов НКУ" sqref="T20 X20 P20 L20 AB20 AH20" xr:uid="{67EAEDAE-2AB7-40D0-937A-603142974432}"/>
    <dataValidation allowBlank="1" showInputMessage="1" showErrorMessage="1" promptTitle="Внимание!" prompt="Только для ширины от 400мм!" sqref="E50:G50 I50:K50 M50:O50 Q50:S50 U50:W50 Y50:AA50 E51:AB51 AH53" xr:uid="{CC150B2F-44FA-45F3-9A57-1B624B8DBF66}"/>
    <dataValidation type="list" allowBlank="1" showInputMessage="1" showErrorMessage="1" sqref="AH22:AH26" xr:uid="{08B3556E-E014-4FED-A258-6AAC3182A4F5}">
      <formula1>$D$179:$D$180</formula1>
    </dataValidation>
    <dataValidation type="list" allowBlank="1" showInputMessage="1" showErrorMessage="1" sqref="E9" xr:uid="{D79ED8C0-2580-4A61-BF13-72C81D162B7B}">
      <formula1>$D$188:$D$190</formula1>
    </dataValidation>
    <dataValidation type="list" allowBlank="1" showInputMessage="1" showErrorMessage="1" sqref="E17" xr:uid="{22C25F78-ADD7-4CEF-8220-967102C8BE11}">
      <formula1>$D$175:$D$177</formula1>
    </dataValidation>
    <dataValidation type="list" allowBlank="1" showInputMessage="1" showErrorMessage="1" promptTitle="Внимание!" prompt="Ширина 300мм рекомендована только для шинного и кабельного типа шкафов._x000a_Для остальных типов рекомендована ширина не менее 600мм._x000a_Ширину 400мм использовать только при необходимости и стестенных условиях." sqref="H30 AH30 AB30 X30 T30 P30 L30" xr:uid="{E8898CF1-4043-493E-8F18-F5A34ED8B262}">
      <formula1>$F$187:$F$190</formula1>
    </dataValidation>
    <dataValidation type="list" allowBlank="1" showInputMessage="1" showErrorMessage="1" promptTitle="Введите высоту " prompt="в мм" sqref="E4" xr:uid="{EFC40122-4181-419B-8E51-C393EA36B28B}">
      <formula1>$G$187:$G$189</formula1>
    </dataValidation>
    <dataValidation type="list" allowBlank="1" showInputMessage="1" errorTitle="Слишком малая величина" error="Рекомендуется увеличить глубину минимум до 600мм" promptTitle="Введите глубину" prompt="в мм" sqref="E5" xr:uid="{07D74CE0-B355-4BDE-87F2-041A2BC8FA92}">
      <formula1>$H$187:$H$189</formula1>
    </dataValidation>
    <dataValidation allowBlank="1" showInputMessage="1" showErrorMessage="1" promptTitle="Внимание!" prompt="Количество перегородок автоматически считается по кол-ву и ширине заполненных корпусов" sqref="F12:G12" xr:uid="{3C8D3683-0459-4B12-950E-499A2F91B5BF}"/>
    <dataValidation type="list" allowBlank="1" showInputMessage="1" showErrorMessage="1" prompt="Введите тип обслуживания" sqref="E7:G7" xr:uid="{04453888-1B99-4FBB-A01D-5F729DEC4712}">
      <formula1>$D$185:$D$186</formula1>
    </dataValidation>
    <dataValidation operator="greaterThan" showInputMessage="1" showErrorMessage="1" promptTitle="Внимание!" prompt="При доработке плоскостей из листового металла рекомендуется закладывать не менее 10м (1 упаковки) на НКУ. По умолчанию заложена 1 упаковка. Введите дополнительное кол-во комплектов." sqref="E10:G10" xr:uid="{972445F0-9F9F-41E9-B927-6DC7AEF86493}"/>
    <dataValidation allowBlank="1" showInputMessage="1" showErrorMessage="1" promptTitle="Внимание!" prompt="Кол-во комплектов считается по кол-ву заполненных шкафов. Если необходимо дополнительно заложить, введите кол-во комплектов. 1кмп=4шт." sqref="F11:G11" xr:uid="{49BA3501-723B-4F5C-BDAF-A6A4628E2046}"/>
    <dataValidation allowBlank="1" showInputMessage="1" showErrorMessage="1" promptTitle="Введите кол-во карманов  А4" prompt="в шт." sqref="F13:G13" xr:uid="{9DAD3866-B48D-4B8B-ABD7-0147014476CC}"/>
    <dataValidation allowBlank="1" showInputMessage="1" showErrorMessage="1" promptTitle="Внимание!" prompt="Конструктив AleSta не предполагает систем распределения свыше 4000А" sqref="E15:G15" xr:uid="{DC27C8FD-AD31-4176-BCA6-5568CA359AF6}"/>
    <dataValidation type="list" allowBlank="1" showInputMessage="1" showErrorMessage="1" promptTitle="Вырерите материал шинной системы" sqref="E16:G16" xr:uid="{C267FC00-1591-49D0-8D48-E0434AD79EBF}">
      <formula1>$D$168:$D$169</formula1>
    </dataValidation>
    <dataValidation allowBlank="1" showInputMessage="1" showErrorMessage="1" promptTitle="Введите кол-во" prompt="в шт._x000a__x000a_Габариты считаются исходя из размера корпуса" sqref="H65 X65 L65 P65 T65 AB65" xr:uid="{C6E4D326-A464-4B79-AD2E-A16BCCD4196D}"/>
    <dataValidation allowBlank="1" showInputMessage="1" showErrorMessage="1" promptTitle="Внимание!" prompt="Выбор аксессуаров остается на Ваше усмотрение и носит рекомендательный характер!" sqref="C73:D112 B72:J72 J74:J112" xr:uid="{748209FD-CE44-4417-96FD-57A7801A5AF8}"/>
    <dataValidation allowBlank="1" showInputMessage="1" showErrorMessage="1" promptTitle="Введите кол-во" prompt="комплектов" sqref="L41:L44 P41:P44 T41:T44 X41:X44 AB41:AB44 H37:H39 L37:L39 P37:P39 T37:T39 X37:X39 AB37:AB39 H41:H44 L46:L49 P46:P49 T46:T49 X46:X49 AB46:AB49 H46:H49" xr:uid="{04F8DBC1-EBD2-4BEF-9001-C11F7CB28478}"/>
    <dataValidation type="list" allowBlank="1" showInputMessage="1" showErrorMessage="1" promptTitle="Внимание!" prompt="При выборе &quot;АВР+Собственные нужды&quot; в шкаф закладывается нагрузка 150А._x000a_Если отсек АВР и собственных нужд отсутствует, оставьте значение &quot;Ничего&quot;" sqref="F22:H26 J22:L26 N22:P26 R22:T26 V22:X26 Z22:AB26" xr:uid="{2E27BBE3-76DF-43D0-BB33-39610FEFBF6F}">
      <formula1>$D$179:$D$180</formula1>
    </dataValidation>
    <dataValidation type="list" allowBlank="1" showInputMessage="1" showErrorMessage="1" prompt="Введите тип конструктива" sqref="E3:G3" xr:uid="{B2050261-C6EC-47AB-902D-813501FD5F3D}">
      <formula1>$D$166:$D$166</formula1>
    </dataValidation>
    <dataValidation type="list" allowBlank="1" showInputMessage="1" showErrorMessage="1" promptTitle="Внимание!" prompt="Заполняется в случае проектирования НКУ с шинной трассой" sqref="E20:G20 Y20:AA20 U20:W20 Q20:S20 M20:O20 I20:K20" xr:uid="{A5CB7FBC-57CF-4F0B-B2D9-1F11FBA2D450}">
      <formula1>$K$151:$K$164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0" r:id="rId4" name="Button 116">
              <controlPr defaultSize="0" print="0" autoFill="0" autoPict="0" macro="[0]!Вернуть_перегородки">
                <anchor moveWithCells="1" sizeWithCells="1">
                  <from>
                    <xdr:col>10</xdr:col>
                    <xdr:colOff>0</xdr:colOff>
                    <xdr:row>10</xdr:row>
                    <xdr:rowOff>228600</xdr:rowOff>
                  </from>
                  <to>
                    <xdr:col>13</xdr:col>
                    <xdr:colOff>161925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5" name="Button 117">
              <controlPr defaultSize="0" print="0" autoFill="0" autoPict="0" macro="[0]!Кнопка_скрыть">
                <anchor moveWithCells="1" sizeWithCells="1">
                  <from>
                    <xdr:col>14</xdr:col>
                    <xdr:colOff>171450</xdr:colOff>
                    <xdr:row>102</xdr:row>
                    <xdr:rowOff>466725</xdr:rowOff>
                  </from>
                  <to>
                    <xdr:col>24</xdr:col>
                    <xdr:colOff>485775</xdr:colOff>
                    <xdr:row>109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6" name="Button 115">
              <controlPr defaultSize="0" print="0" autoFill="0" autoPict="0" macro="[0]!Удалить_перегородки" altText="Перегородки не трубуются">
                <anchor moveWithCells="1" sizeWithCells="1">
                  <from>
                    <xdr:col>7</xdr:col>
                    <xdr:colOff>66675</xdr:colOff>
                    <xdr:row>10</xdr:row>
                    <xdr:rowOff>228600</xdr:rowOff>
                  </from>
                  <to>
                    <xdr:col>9</xdr:col>
                    <xdr:colOff>514350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560" yWindow="459" count="21">
        <x14:dataValidation type="list" allowBlank="1" showInputMessage="1" showErrorMessage="1" xr:uid="{A4F5AE9E-9C4C-40D1-BAEF-478F1212F6BB}">
          <x14:formula1>
            <xm:f>Прайс!$B$179:$B$186</xm:f>
          </x14:formula1>
          <xm:sqref>E74</xm:sqref>
        </x14:dataValidation>
        <x14:dataValidation type="list" allowBlank="1" showInputMessage="1" showErrorMessage="1" xr:uid="{AA8621D8-0F51-4788-BA88-F8B73E9813A2}">
          <x14:formula1>
            <xm:f>Прайс!$B$177:$B$178</xm:f>
          </x14:formula1>
          <xm:sqref>E76</xm:sqref>
        </x14:dataValidation>
        <x14:dataValidation type="list" allowBlank="1" showInputMessage="1" showErrorMessage="1" xr:uid="{391D5225-9F8B-40E9-9F87-B95E29E5EE02}">
          <x14:formula1>
            <xm:f>Прайс!$B$189:$B$192</xm:f>
          </x14:formula1>
          <xm:sqref>E78</xm:sqref>
        </x14:dataValidation>
        <x14:dataValidation type="list" allowBlank="1" showInputMessage="1" showErrorMessage="1" xr:uid="{919C42EA-998C-4B49-9ABD-05A816A5DD3B}">
          <x14:formula1>
            <xm:f>Прайс!$B$201:$B$207</xm:f>
          </x14:formula1>
          <xm:sqref>E80</xm:sqref>
        </x14:dataValidation>
        <x14:dataValidation type="list" allowBlank="1" showInputMessage="1" showErrorMessage="1" xr:uid="{6C566DAB-F856-46A4-AA6F-7D855FA1A4C3}">
          <x14:formula1>
            <xm:f>Прайс!$B$208:$B$212</xm:f>
          </x14:formula1>
          <xm:sqref>E82</xm:sqref>
        </x14:dataValidation>
        <x14:dataValidation type="list" allowBlank="1" showInputMessage="1" showErrorMessage="1" xr:uid="{70F88AF9-1A39-44B5-A93C-FCEAFBE9AB1F}">
          <x14:formula1>
            <xm:f>Прайс!$B$215:$B$231</xm:f>
          </x14:formula1>
          <xm:sqref>E84</xm:sqref>
        </x14:dataValidation>
        <x14:dataValidation type="list" allowBlank="1" showInputMessage="1" showErrorMessage="1" xr:uid="{923B5F0D-E61D-453E-BC3F-8ED68DE33864}">
          <x14:formula1>
            <xm:f>Прайс!$B$232</xm:f>
          </x14:formula1>
          <xm:sqref>E85</xm:sqref>
        </x14:dataValidation>
        <x14:dataValidation type="list" allowBlank="1" showInputMessage="1" showErrorMessage="1" xr:uid="{9BCCBBE8-797A-4473-8660-A27B7E5C5D05}">
          <x14:formula1>
            <xm:f>Прайс!$B$233:$B$238</xm:f>
          </x14:formula1>
          <xm:sqref>E87</xm:sqref>
        </x14:dataValidation>
        <x14:dataValidation type="list" allowBlank="1" showInputMessage="1" showErrorMessage="1" xr:uid="{BC75CC6E-DFA0-4A33-8CD5-66C457C52639}">
          <x14:formula1>
            <xm:f>Прайс!$B$240:$B$241</xm:f>
          </x14:formula1>
          <xm:sqref>E89</xm:sqref>
        </x14:dataValidation>
        <x14:dataValidation type="list" allowBlank="1" showInputMessage="1" showErrorMessage="1" xr:uid="{6DF110E5-F9C4-466F-99E1-B584F110FB90}">
          <x14:formula1>
            <xm:f>Прайс!$B$242:$B$245</xm:f>
          </x14:formula1>
          <xm:sqref>E91</xm:sqref>
        </x14:dataValidation>
        <x14:dataValidation type="list" allowBlank="1" showInputMessage="1" showErrorMessage="1" xr:uid="{9D876A59-D2D3-4DD5-93DC-25CA339C31A9}">
          <x14:formula1>
            <xm:f>Прайс!$B$247:$B$254</xm:f>
          </x14:formula1>
          <xm:sqref>E93</xm:sqref>
        </x14:dataValidation>
        <x14:dataValidation type="list" allowBlank="1" showInputMessage="1" showErrorMessage="1" xr:uid="{4B7091A7-EF0A-4332-8A9E-3CB53C03E6A8}">
          <x14:formula1>
            <xm:f>Прайс!$B$256:$B$259</xm:f>
          </x14:formula1>
          <xm:sqref>E95</xm:sqref>
        </x14:dataValidation>
        <x14:dataValidation type="list" allowBlank="1" showInputMessage="1" showErrorMessage="1" xr:uid="{F06E899A-8214-4DE3-A5FE-3A913B13EE8F}">
          <x14:formula1>
            <xm:f>Прайс!$B$260:$B$262</xm:f>
          </x14:formula1>
          <xm:sqref>E97</xm:sqref>
        </x14:dataValidation>
        <x14:dataValidation type="list" allowBlank="1" showInputMessage="1" showErrorMessage="1" xr:uid="{EEB6D00C-EBBD-4A4A-9D36-258DEDC3F909}">
          <x14:formula1>
            <xm:f>Прайс!$B$264:$B$265</xm:f>
          </x14:formula1>
          <xm:sqref>E99</xm:sqref>
        </x14:dataValidation>
        <x14:dataValidation type="list" allowBlank="1" showInputMessage="1" showErrorMessage="1" xr:uid="{6F3CA8B4-CFE1-4FA4-BA32-BC20ECAB0B55}">
          <x14:formula1>
            <xm:f>Прайс!$B$266:$B$268</xm:f>
          </x14:formula1>
          <xm:sqref>E101</xm:sqref>
        </x14:dataValidation>
        <x14:dataValidation type="list" allowBlank="1" showInputMessage="1" showErrorMessage="1" xr:uid="{95F8E90E-C485-44A7-993D-07B4806D0733}">
          <x14:formula1>
            <xm:f>Прайс!$B$270:$B$274</xm:f>
          </x14:formula1>
          <xm:sqref>E103</xm:sqref>
        </x14:dataValidation>
        <x14:dataValidation type="list" allowBlank="1" showInputMessage="1" showErrorMessage="1" xr:uid="{62C4FE52-29A1-4C7C-8D44-81F663D82F52}">
          <x14:formula1>
            <xm:f>Прайс!$B$275:$B$281</xm:f>
          </x14:formula1>
          <xm:sqref>E105</xm:sqref>
        </x14:dataValidation>
        <x14:dataValidation type="list" allowBlank="1" showInputMessage="1" showErrorMessage="1" xr:uid="{9E4AC483-3B4C-43F4-94E3-A244F1A0D209}">
          <x14:formula1>
            <xm:f>Прайс!$B$287:$B$292</xm:f>
          </x14:formula1>
          <xm:sqref>E107</xm:sqref>
        </x14:dataValidation>
        <x14:dataValidation type="list" allowBlank="1" showInputMessage="1" showErrorMessage="1" xr:uid="{5AAB676E-5482-496F-AFB0-83C5050A6085}">
          <x14:formula1>
            <xm:f>Прайс!$B$293:$B$300</xm:f>
          </x14:formula1>
          <xm:sqref>E109</xm:sqref>
        </x14:dataValidation>
        <x14:dataValidation type="list" allowBlank="1" showInputMessage="1" showErrorMessage="1" xr:uid="{03719424-F01E-4F36-B7BE-3103CE5A950F}">
          <x14:formula1>
            <xm:f>Прайс!$B$302</xm:f>
          </x14:formula1>
          <xm:sqref>E110</xm:sqref>
        </x14:dataValidation>
        <x14:dataValidation type="list" allowBlank="1" showInputMessage="1" showErrorMessage="1" xr:uid="{1632DA0F-11EC-40E0-BAC8-2E70EA893FE5}">
          <x14:formula1>
            <xm:f>Прайс!$B$304:$B$305</xm:f>
          </x14:formula1>
          <xm:sqref>E112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3D6B8-0700-4AE2-B7D9-C069BC3E405A}">
  <sheetPr codeName="Лист2"/>
  <dimension ref="A1:K220"/>
  <sheetViews>
    <sheetView zoomScale="115" zoomScaleNormal="115" workbookViewId="0">
      <pane ySplit="3" topLeftCell="A4" activePane="bottomLeft" state="frozen"/>
      <selection pane="bottomLeft" activeCell="B210" sqref="B210"/>
    </sheetView>
  </sheetViews>
  <sheetFormatPr defaultColWidth="0" defaultRowHeight="15" x14ac:dyDescent="0.25"/>
  <cols>
    <col min="1" max="1" width="80.7109375" style="119" bestFit="1" customWidth="1"/>
    <col min="2" max="2" width="19.5703125" style="119" bestFit="1" customWidth="1"/>
    <col min="3" max="3" width="11.28515625" style="119" customWidth="1"/>
    <col min="4" max="4" width="11.42578125" style="119" customWidth="1"/>
    <col min="5" max="5" width="15.7109375" style="207" hidden="1" customWidth="1"/>
    <col min="6" max="6" width="16.28515625" style="207" hidden="1" customWidth="1"/>
    <col min="7" max="8" width="9.140625" style="119" hidden="1" customWidth="1"/>
    <col min="9" max="9" width="2.28515625" style="119" hidden="1" customWidth="1"/>
    <col min="10" max="10" width="9.140625" style="119" hidden="1" customWidth="1"/>
    <col min="11" max="11" width="5.7109375" style="119" hidden="1" customWidth="1"/>
    <col min="12" max="16384" width="9.140625" style="119" hidden="1"/>
  </cols>
  <sheetData>
    <row r="1" spans="1:6" ht="19.5" thickBot="1" x14ac:dyDescent="0.35">
      <c r="A1" s="149" t="s">
        <v>960</v>
      </c>
      <c r="B1" s="205">
        <v>0.5</v>
      </c>
      <c r="C1" s="428"/>
      <c r="D1" s="429"/>
      <c r="E1" s="429"/>
      <c r="F1" s="430"/>
    </row>
    <row r="2" spans="1:6" ht="19.5" thickBot="1" x14ac:dyDescent="0.35">
      <c r="A2" s="433" t="s">
        <v>908</v>
      </c>
      <c r="B2" s="434"/>
      <c r="C2" s="141">
        <v>1</v>
      </c>
      <c r="D2" s="431"/>
      <c r="E2" s="431"/>
      <c r="F2" s="432"/>
    </row>
    <row r="3" spans="1:6" ht="31.5" x14ac:dyDescent="0.25">
      <c r="A3" s="130" t="s">
        <v>909</v>
      </c>
      <c r="B3" s="130" t="s">
        <v>1</v>
      </c>
      <c r="C3" s="135" t="s">
        <v>766</v>
      </c>
      <c r="D3" s="135" t="s">
        <v>976</v>
      </c>
      <c r="E3" s="131" t="s">
        <v>925</v>
      </c>
      <c r="F3" s="131" t="s">
        <v>961</v>
      </c>
    </row>
    <row r="4" spans="1:6" ht="19.5" thickBot="1" x14ac:dyDescent="0.35">
      <c r="A4" s="424" t="s">
        <v>924</v>
      </c>
      <c r="B4" s="425"/>
      <c r="C4" s="142">
        <v>1</v>
      </c>
      <c r="D4" s="426"/>
      <c r="E4" s="426"/>
      <c r="F4" s="427"/>
    </row>
    <row r="5" spans="1:6" hidden="1" x14ac:dyDescent="0.25">
      <c r="A5" s="144" t="s">
        <v>20</v>
      </c>
      <c r="B5" s="144" t="s">
        <v>19</v>
      </c>
      <c r="C5" s="126">
        <f>SUM(Конфигуратор!AK19,Конфигуратор!AN19,Конфигуратор!AQ19,Конфигуратор!AT19,Конфигуратор!AW19,Конфигуратор!AZ19)</f>
        <v>0</v>
      </c>
      <c r="D5" s="126" t="str">
        <f>VLOOKUP(B5,Прайс!A1:AC377,7,FALSE)</f>
        <v>упак.</v>
      </c>
      <c r="E5" s="128">
        <f>VLOOKUP(B5,Прайс!A1:AC377,8,FALSE)</f>
        <v>47790.13</v>
      </c>
      <c r="F5" s="128">
        <f t="shared" ref="F5:F23" si="0">E5*C5*(1-$B$1)</f>
        <v>0</v>
      </c>
    </row>
    <row r="6" spans="1:6" hidden="1" x14ac:dyDescent="0.25">
      <c r="A6" s="144" t="s">
        <v>24</v>
      </c>
      <c r="B6" s="144" t="s">
        <v>23</v>
      </c>
      <c r="C6" s="126">
        <f>SUM(Конфигуратор!AK20,Конфигуратор!AN20,Конфигуратор!AQ20,Конфигуратор!AT20,Конфигуратор!AW20,Конфигуратор!AZ20)</f>
        <v>0</v>
      </c>
      <c r="D6" s="126" t="str">
        <f>VLOOKUP(B6,Прайс!A2:AC378,7,FALSE)</f>
        <v>упак.</v>
      </c>
      <c r="E6" s="128">
        <f>VLOOKUP(B6,Прайс!A2:AC378,8,FALSE)</f>
        <v>49501.13</v>
      </c>
      <c r="F6" s="128">
        <f t="shared" si="0"/>
        <v>0</v>
      </c>
    </row>
    <row r="7" spans="1:6" hidden="1" x14ac:dyDescent="0.25">
      <c r="A7" s="144" t="s">
        <v>26</v>
      </c>
      <c r="B7" s="144" t="s">
        <v>25</v>
      </c>
      <c r="C7" s="126">
        <f>SUM(Конфигуратор!AK21,Конфигуратор!AN21,Конфигуратор!AQ21,Конфигуратор!AT21,Конфигуратор!AW21,Конфигуратор!AZ21)</f>
        <v>0</v>
      </c>
      <c r="D7" s="126" t="str">
        <f>VLOOKUP(B7,Прайс!A3:AC379,7,FALSE)</f>
        <v>упак.</v>
      </c>
      <c r="E7" s="128">
        <f>VLOOKUP(B7,Прайс!A3:AC379,8,FALSE)</f>
        <v>50258.79</v>
      </c>
      <c r="F7" s="128">
        <f t="shared" si="0"/>
        <v>0</v>
      </c>
    </row>
    <row r="8" spans="1:6" hidden="1" x14ac:dyDescent="0.25">
      <c r="A8" s="144" t="s">
        <v>28</v>
      </c>
      <c r="B8" s="144" t="s">
        <v>27</v>
      </c>
      <c r="C8" s="126">
        <f>SUM(Конфигуратор!AK22,Конфигуратор!AN22,Конфигуратор!AQ22,Конфигуратор!AT22,Конфигуратор!AW22,Конфигуратор!AZ22)</f>
        <v>0</v>
      </c>
      <c r="D8" s="126" t="str">
        <f>VLOOKUP(B8,Прайс!A4:AC380,7,FALSE)</f>
        <v>упак.</v>
      </c>
      <c r="E8" s="128">
        <f>VLOOKUP(B8,Прайс!A4:AC380,8,FALSE)</f>
        <v>52723.06</v>
      </c>
      <c r="F8" s="128">
        <f t="shared" si="0"/>
        <v>0</v>
      </c>
    </row>
    <row r="9" spans="1:6" hidden="1" x14ac:dyDescent="0.25">
      <c r="A9" s="144" t="s">
        <v>30</v>
      </c>
      <c r="B9" s="144" t="s">
        <v>29</v>
      </c>
      <c r="C9" s="126">
        <f>SUM(Конфигуратор!AK23,Конфигуратор!AN23,Конфигуратор!AQ23,Конфигуратор!AT23,Конфигуратор!AW23,Конфигуратор!AZ23)</f>
        <v>0</v>
      </c>
      <c r="D9" s="126" t="str">
        <f>VLOOKUP(B9,Прайс!A5:AC381,7,FALSE)</f>
        <v>упак.</v>
      </c>
      <c r="E9" s="128">
        <f>VLOOKUP(B9,Прайс!A5:AC381,8,FALSE)</f>
        <v>55886.03</v>
      </c>
      <c r="F9" s="128">
        <f t="shared" si="0"/>
        <v>0</v>
      </c>
    </row>
    <row r="10" spans="1:6" hidden="1" x14ac:dyDescent="0.25">
      <c r="A10" s="144" t="s">
        <v>32</v>
      </c>
      <c r="B10" s="144" t="s">
        <v>31</v>
      </c>
      <c r="C10" s="126">
        <f>SUM(Конфигуратор!AK24,Конфигуратор!AN24,Конфигуратор!AQ24,Конфигуратор!AT24,Конфигуратор!AW24,Конфигуратор!AZ24)</f>
        <v>0</v>
      </c>
      <c r="D10" s="126" t="str">
        <f>VLOOKUP(B10,Прайс!A6:AC382,7,FALSE)</f>
        <v>упак.</v>
      </c>
      <c r="E10" s="128">
        <f>VLOOKUP(B10,Прайс!A6:AC382,8,FALSE)</f>
        <v>58833.24</v>
      </c>
      <c r="F10" s="128">
        <f t="shared" si="0"/>
        <v>0</v>
      </c>
    </row>
    <row r="11" spans="1:6" hidden="1" x14ac:dyDescent="0.25">
      <c r="A11" s="144" t="s">
        <v>34</v>
      </c>
      <c r="B11" s="144" t="s">
        <v>33</v>
      </c>
      <c r="C11" s="126">
        <f>SUM(Конфигуратор!AK25,Конфигуратор!AN25,Конфигуратор!AQ25,Конфигуратор!AT25,Конфигуратор!AW25,Конфигуратор!AZ25)</f>
        <v>0</v>
      </c>
      <c r="D11" s="126" t="str">
        <f>VLOOKUP(B11,Прайс!A7:AC383,7,FALSE)</f>
        <v>упак.</v>
      </c>
      <c r="E11" s="128">
        <f>VLOOKUP(B11,Прайс!A7:AC383,8,FALSE)</f>
        <v>56017.43</v>
      </c>
      <c r="F11" s="128">
        <f t="shared" si="0"/>
        <v>0</v>
      </c>
    </row>
    <row r="12" spans="1:6" hidden="1" x14ac:dyDescent="0.25">
      <c r="A12" s="144" t="s">
        <v>36</v>
      </c>
      <c r="B12" s="144" t="s">
        <v>35</v>
      </c>
      <c r="C12" s="126">
        <f>SUM(Конфигуратор!AK26,Конфигуратор!AN26,Конфигуратор!AQ26,Конфигуратор!AT26,Конфигуратор!AW26,Конфигуратор!AZ26)</f>
        <v>0</v>
      </c>
      <c r="D12" s="126" t="str">
        <f>VLOOKUP(B12,Прайс!A8:AC384,7,FALSE)</f>
        <v>упак.</v>
      </c>
      <c r="E12" s="128">
        <f>VLOOKUP(B12,Прайс!A8:AC384,8,FALSE)</f>
        <v>56455.21</v>
      </c>
      <c r="F12" s="128">
        <f t="shared" si="0"/>
        <v>0</v>
      </c>
    </row>
    <row r="13" spans="1:6" hidden="1" x14ac:dyDescent="0.25">
      <c r="A13" s="144" t="s">
        <v>38</v>
      </c>
      <c r="B13" s="144" t="s">
        <v>37</v>
      </c>
      <c r="C13" s="126">
        <f>SUM(Конфигуратор!AK27,Конфигуратор!AN27,Конфигуратор!AQ27,Конфигуратор!AT27,Конфигуратор!AW27,Конфигуратор!AZ27)</f>
        <v>0</v>
      </c>
      <c r="D13" s="126" t="str">
        <f>VLOOKUP(B13,Прайс!A9:AC385,7,FALSE)</f>
        <v>упак.</v>
      </c>
      <c r="E13" s="128">
        <f>VLOOKUP(B13,Прайс!A9:AC385,8,FALSE)</f>
        <v>60556.79</v>
      </c>
      <c r="F13" s="128">
        <f t="shared" si="0"/>
        <v>0</v>
      </c>
    </row>
    <row r="14" spans="1:6" hidden="1" x14ac:dyDescent="0.25">
      <c r="A14" s="144" t="s">
        <v>40</v>
      </c>
      <c r="B14" s="144" t="s">
        <v>39</v>
      </c>
      <c r="C14" s="126">
        <f>SUM(Конфигуратор!AK28,Конфигуратор!AN28,Конфигуратор!AQ28,Конфигуратор!AT28,Конфигуратор!AW28,Конфигуратор!AZ28)</f>
        <v>0</v>
      </c>
      <c r="D14" s="126" t="str">
        <f>VLOOKUP(B14,Прайс!A10:AC386,7,FALSE)</f>
        <v>упак.</v>
      </c>
      <c r="E14" s="128">
        <f>VLOOKUP(B14,Прайс!A10:AC386,8,FALSE)</f>
        <v>55612.26</v>
      </c>
      <c r="F14" s="128">
        <f t="shared" si="0"/>
        <v>0</v>
      </c>
    </row>
    <row r="15" spans="1:6" hidden="1" x14ac:dyDescent="0.25">
      <c r="A15" s="144" t="s">
        <v>42</v>
      </c>
      <c r="B15" s="144" t="s">
        <v>41</v>
      </c>
      <c r="C15" s="126">
        <f>SUM(Конфигуратор!AK29,Конфигуратор!AN29,Конфигуратор!AQ29,Конфигуратор!AT29,Конфигуратор!AW29,Конфигуратор!AZ29)</f>
        <v>0</v>
      </c>
      <c r="D15" s="126" t="str">
        <f>VLOOKUP(B15,Прайс!A11:AC387,7,FALSE)</f>
        <v>упак.</v>
      </c>
      <c r="E15" s="128">
        <f>VLOOKUP(B15,Прайс!A11:AC387,8,FALSE)</f>
        <v>60704.49</v>
      </c>
      <c r="F15" s="128">
        <f t="shared" si="0"/>
        <v>0</v>
      </c>
    </row>
    <row r="16" spans="1:6" hidden="1" x14ac:dyDescent="0.25">
      <c r="A16" s="144" t="s">
        <v>44</v>
      </c>
      <c r="B16" s="144" t="s">
        <v>43</v>
      </c>
      <c r="C16" s="126">
        <f>SUM(Конфигуратор!AK30,Конфигуратор!AN30,Конфигуратор!AQ30,Конфигуратор!AT30,Конфигуратор!AW30,Конфигуратор!AZ30)</f>
        <v>0</v>
      </c>
      <c r="D16" s="126" t="str">
        <f>VLOOKUP(B16,Прайс!A12:AC388,7,FALSE)</f>
        <v>упак.</v>
      </c>
      <c r="E16" s="128">
        <f>VLOOKUP(B16,Прайс!A12:AC388,8,FALSE)</f>
        <v>65381.21</v>
      </c>
      <c r="F16" s="128">
        <f t="shared" si="0"/>
        <v>0</v>
      </c>
    </row>
    <row r="17" spans="1:6" hidden="1" x14ac:dyDescent="0.25">
      <c r="A17" s="144" t="s">
        <v>46</v>
      </c>
      <c r="B17" s="144" t="s">
        <v>45</v>
      </c>
      <c r="C17" s="126">
        <f>SUM(Конфигуратор!AK31,Конфигуратор!AN31,Конфигуратор!AQ31,Конфигуратор!AT31,Конфигуратор!AW31,Конфигуратор!AZ31)</f>
        <v>0</v>
      </c>
      <c r="D17" s="126" t="str">
        <f>VLOOKUP(B17,Прайс!A13:AC389,7,FALSE)</f>
        <v>упак.</v>
      </c>
      <c r="E17" s="128">
        <f>VLOOKUP(B17,Прайс!A13:AC389,8,FALSE)</f>
        <v>15174.66</v>
      </c>
      <c r="F17" s="128">
        <f t="shared" si="0"/>
        <v>0</v>
      </c>
    </row>
    <row r="18" spans="1:6" hidden="1" x14ac:dyDescent="0.25">
      <c r="A18" s="144" t="s">
        <v>49</v>
      </c>
      <c r="B18" s="144" t="s">
        <v>48</v>
      </c>
      <c r="C18" s="126">
        <f>SUM(Конфигуратор!AK32,Конфигуратор!AN32,Конфигуратор!AQ32,Конфигуратор!AT32,Конфигуратор!AW32,Конфигуратор!AZ32)</f>
        <v>0</v>
      </c>
      <c r="D18" s="126" t="str">
        <f>VLOOKUP(B18,Прайс!A14:AC390,7,FALSE)</f>
        <v>упак.</v>
      </c>
      <c r="E18" s="128">
        <f>VLOOKUP(B18,Прайс!A14:AC390,8,FALSE)</f>
        <v>17109.12</v>
      </c>
      <c r="F18" s="128">
        <f t="shared" si="0"/>
        <v>0</v>
      </c>
    </row>
    <row r="19" spans="1:6" hidden="1" x14ac:dyDescent="0.25">
      <c r="A19" s="144" t="s">
        <v>51</v>
      </c>
      <c r="B19" s="144" t="s">
        <v>50</v>
      </c>
      <c r="C19" s="126">
        <f>SUM(Конфигуратор!AK33,Конфигуратор!AN33,Конфигуратор!AQ33,Конфигуратор!AT33,Конфигуратор!AW33,Конфигуратор!AZ33)</f>
        <v>0</v>
      </c>
      <c r="D19" s="126" t="str">
        <f>VLOOKUP(B19,Прайс!A15:AC391,7,FALSE)</f>
        <v>упак.</v>
      </c>
      <c r="E19" s="128">
        <f>VLOOKUP(B19,Прайс!A15:AC391,8,FALSE)</f>
        <v>18802.560000000001</v>
      </c>
      <c r="F19" s="128">
        <f t="shared" si="0"/>
        <v>0</v>
      </c>
    </row>
    <row r="20" spans="1:6" hidden="1" x14ac:dyDescent="0.25">
      <c r="A20" s="144" t="s">
        <v>53</v>
      </c>
      <c r="B20" s="144" t="s">
        <v>52</v>
      </c>
      <c r="C20" s="126">
        <f>IF(AND(Конфигуратор!$E$4=Конфигуратор!$G$187,Конфигуратор!$E$5=Конфигуратор!$H$187,SUM(Конфигуратор!$L$20,Конфигуратор!$P$20,Конфигуратор!$T$20,Конфигуратор!$X$20,Конфигуратор!$AB$20)=0),Конфигуратор!$H$20,IF(AND(Конфигуратор!$E$4=Конфигуратор!$G$187,Конфигуратор!$E$5=Конфигуратор!$H$187,SUM(Конфигуратор!$L$20,Конфигуратор!$P$20,Конфигуратор!$T$20,Конфигуратор!$X$20,Конфигуратор!$AB$20)&lt;&gt;0),1+Конфигуратор!$E$8,0))</f>
        <v>0</v>
      </c>
      <c r="D20" s="126" t="str">
        <f>VLOOKUP(B20,Прайс!A16:AC392,7,FALSE)</f>
        <v>упак.</v>
      </c>
      <c r="E20" s="128">
        <f>VLOOKUP(B20,Прайс!A16:AC392,8,FALSE)</f>
        <v>13428.98</v>
      </c>
      <c r="F20" s="128">
        <f t="shared" si="0"/>
        <v>0</v>
      </c>
    </row>
    <row r="21" spans="1:6" hidden="1" x14ac:dyDescent="0.25">
      <c r="A21" s="144" t="s">
        <v>56</v>
      </c>
      <c r="B21" s="144" t="s">
        <v>55</v>
      </c>
      <c r="C21" s="126">
        <f>IF(AND(Конфигуратор!$E$4=Конфигуратор!$G$187,Конфигуратор!$E$5=Конфигуратор!$H$188,SUM(Конфигуратор!$L$20,Конфигуратор!$P$20,Конфигуратор!$T$20,Конфигуратор!$X$20,Конфигуратор!$AB$20)=0),Конфигуратор!$H$20,IF(AND(Конфигуратор!$E$4=Конфигуратор!$G$187,Конфигуратор!$E$5=Конфигуратор!$H$188,SUM(Конфигуратор!$L$20,Конфигуратор!$P$20,Конфигуратор!$T$20,Конфигуратор!$X$20,Конфигуратор!$AB$20)&lt;&gt;0),1+Конфигуратор!$E$8,0))</f>
        <v>0</v>
      </c>
      <c r="D21" s="126" t="str">
        <f>VLOOKUP(B21,Прайс!A17:AC393,7,FALSE)</f>
        <v>упак.</v>
      </c>
      <c r="E21" s="128">
        <f>VLOOKUP(B21,Прайс!A17:AC393,8,FALSE)</f>
        <v>19167.23</v>
      </c>
      <c r="F21" s="128">
        <f t="shared" si="0"/>
        <v>0</v>
      </c>
    </row>
    <row r="22" spans="1:6" hidden="1" x14ac:dyDescent="0.25">
      <c r="A22" s="144" t="s">
        <v>58</v>
      </c>
      <c r="B22" s="144" t="s">
        <v>57</v>
      </c>
      <c r="C22" s="126">
        <f>IF(AND(Конфигуратор!$E$4=Конфигуратор!$G$187,Конфигуратор!$E$5=Конфигуратор!$H$189,SUM(Конфигуратор!$L$20,Конфигуратор!$P$20,Конфигуратор!$T$20,Конфигуратор!$X$20,Конфигуратор!$AB$20)=0),Конфигуратор!$H$20,IF(AND(Конфигуратор!$E$4=Конфигуратор!$G$187,Конфигуратор!$E$5=Конфигуратор!$H$189,SUM(Конфигуратор!$L$20,Конфигуратор!$P$20,Конфигуратор!$T$20,Конфигуратор!$X$20,Конфигуратор!$AB$20)&lt;&gt;0),1+Конфигуратор!$E$8,0))</f>
        <v>0</v>
      </c>
      <c r="D22" s="126" t="str">
        <f>VLOOKUP(B22,Прайс!A18:AC394,7,FALSE)</f>
        <v>упак.</v>
      </c>
      <c r="E22" s="128">
        <f>VLOOKUP(B22,Прайс!A18:AC394,8,FALSE)</f>
        <v>24611.64</v>
      </c>
      <c r="F22" s="128">
        <f t="shared" si="0"/>
        <v>0</v>
      </c>
    </row>
    <row r="23" spans="1:6" hidden="1" x14ac:dyDescent="0.25">
      <c r="A23" s="144" t="s">
        <v>60</v>
      </c>
      <c r="B23" s="144" t="s">
        <v>59</v>
      </c>
      <c r="C23" s="126">
        <f>IF(AND(Конфигуратор!$E$4=Конфигуратор!$G$188,Конфигуратор!$E$5=Конфигуратор!$H$187,SUM(Конфигуратор!$L$20,Конфигуратор!$P$20,Конфигуратор!$T$20,Конфигуратор!$X$20,Конфигуратор!$AB$20)=0),Конфигуратор!$H$20,IF(AND(Конфигуратор!$E$4=Конфигуратор!$G$188,Конфигуратор!$E$5=Конфигуратор!$H$187,SUM(Конфигуратор!$L$20,Конфигуратор!$P$20,Конфигуратор!$T$20,Конфигуратор!$X$20,Конфигуратор!$AB$20)&lt;&gt;0),1+Конфигуратор!$E$8,0))</f>
        <v>0</v>
      </c>
      <c r="D23" s="126" t="str">
        <f>VLOOKUP(B23,Прайс!A19:AC395,7,FALSE)</f>
        <v>упак.</v>
      </c>
      <c r="E23" s="128">
        <f>VLOOKUP(B23,Прайс!A19:AC395,8,FALSE)</f>
        <v>14796.9</v>
      </c>
      <c r="F23" s="128">
        <f t="shared" si="0"/>
        <v>0</v>
      </c>
    </row>
    <row r="24" spans="1:6" hidden="1" x14ac:dyDescent="0.25">
      <c r="A24" s="144" t="s">
        <v>62</v>
      </c>
      <c r="B24" s="144" t="s">
        <v>61</v>
      </c>
      <c r="C24" s="126">
        <f>IF(AND(Конфигуратор!$E$4=Конфигуратор!$G$188,Конфигуратор!$E$5=Конфигуратор!$H$188,SUM(Конфигуратор!$L$20,Конфигуратор!$P$20,Конфигуратор!$T$20,Конфигуратор!$X$20,Конфигуратор!$AB$20)=0),Конфигуратор!$H$20,IF(AND(Конфигуратор!$E$4=Конфигуратор!$G$188,Конфигуратор!$E$5=Конфигуратор!$H$188,SUM(Конфигуратор!$L$20,Конфигуратор!$P$20,Конфигуратор!$T$20,Конфигуратор!$X$20,Конфигуратор!$AB$20)&lt;&gt;0),1+Конфигуратор!$E$8,0))</f>
        <v>0</v>
      </c>
      <c r="D24" s="126" t="str">
        <f>VLOOKUP(B24,Прайс!A20:AC396,7,FALSE)</f>
        <v>упак.</v>
      </c>
      <c r="E24" s="128">
        <f>VLOOKUP(B24,Прайс!A20:AC396,8,FALSE)</f>
        <v>21143.54</v>
      </c>
      <c r="F24" s="128">
        <f>E24*Спецификация!C24*(1-$B$1)</f>
        <v>0</v>
      </c>
    </row>
    <row r="25" spans="1:6" hidden="1" x14ac:dyDescent="0.25">
      <c r="A25" s="144" t="s">
        <v>64</v>
      </c>
      <c r="B25" s="144" t="s">
        <v>63</v>
      </c>
      <c r="C25" s="126">
        <f>IF(AND(Конфигуратор!$E$4=Конфигуратор!$G$188,Конфигуратор!$E$5=Конфигуратор!$H$189,SUM(Конфигуратор!$L$20,Конфигуратор!$P$20,Конфигуратор!$T$20,Конфигуратор!$X$20,Конфигуратор!$AB$20)=0),Конфигуратор!$H$20,IF(AND(Конфигуратор!$E$4=Конфигуратор!$G$188,Конфигуратор!$E$5=Конфигуратор!$H$189,SUM(Конфигуратор!$L$20,Конфигуратор!$P$20,Конфигуратор!$T$20,Конфигуратор!$X$20,Конфигуратор!$AB$20)&lt;&gt;0),1+Конфигуратор!$E$8,0))</f>
        <v>0</v>
      </c>
      <c r="D25" s="126" t="str">
        <f>VLOOKUP(B25,Прайс!A21:AC397,7,FALSE)</f>
        <v>упак.</v>
      </c>
      <c r="E25" s="128">
        <f>VLOOKUP(B25,Прайс!A21:AC397,8,FALSE)</f>
        <v>27170.3</v>
      </c>
      <c r="F25" s="128">
        <f t="shared" ref="F25:F64" si="1">E25*C25*(1-$B$1)</f>
        <v>0</v>
      </c>
    </row>
    <row r="26" spans="1:6" hidden="1" x14ac:dyDescent="0.25">
      <c r="A26" s="144" t="s">
        <v>66</v>
      </c>
      <c r="B26" s="144" t="s">
        <v>65</v>
      </c>
      <c r="C26" s="126">
        <f>IF(AND(Конфигуратор!$E$4=Конфигуратор!$G$189,Конфигуратор!$E$5=Конфигуратор!$H$187,SUM(Конфигуратор!$L$20,Конфигуратор!$P$20,Конфигуратор!$T$20,Конфигуратор!$X$20,Конфигуратор!$AB$20)=0),Конфигуратор!$H$20,IF(AND(Конфигуратор!$E$4=Конфигуратор!$G$189,Конфигуратор!$E$5=Конфигуратор!$H$187,SUM(Конфигуратор!$L$20,Конфигуратор!$P$20,Конфигуратор!$T$20,Конфигуратор!$X$20,Конфигуратор!$AB$20)&lt;&gt;0),1+Конфигуратор!$E$8,0))</f>
        <v>0</v>
      </c>
      <c r="D26" s="126" t="str">
        <f>VLOOKUP(B26,Прайс!A22:AC398,7,FALSE)</f>
        <v>упак.</v>
      </c>
      <c r="E26" s="128">
        <f>VLOOKUP(B26,Прайс!A22:AC398,8,FALSE)</f>
        <v>16169.84</v>
      </c>
      <c r="F26" s="128">
        <f t="shared" si="1"/>
        <v>0</v>
      </c>
    </row>
    <row r="27" spans="1:6" hidden="1" x14ac:dyDescent="0.25">
      <c r="A27" s="144" t="s">
        <v>68</v>
      </c>
      <c r="B27" s="144" t="s">
        <v>67</v>
      </c>
      <c r="C27" s="126">
        <f>IF(AND(Конфигуратор!$E$4=Конфигуратор!$G$189,Конфигуратор!$E$5=Конфигуратор!$H$188,SUM(Конфигуратор!$L$20,Конфигуратор!$P$20,Конфигуратор!$T$20,Конфигуратор!$X$20,Конфигуратор!$AB$20)=0),Конфигуратор!$H$20,IF(AND(Конфигуратор!$E$4=Конфигуратор!$G$189,Конфигуратор!$E$5=Конфигуратор!$H$188,SUM(Конфигуратор!$L$20,Конфигуратор!$P$20,Конфигуратор!$T$20,Конфигуратор!$X$20,Конфигуратор!$AB$20)&lt;&gt;0),1+Конфигуратор!$E$8,0))</f>
        <v>0</v>
      </c>
      <c r="D27" s="126" t="str">
        <f>VLOOKUP(B27,Прайс!A23:AC399,7,FALSE)</f>
        <v>упак.</v>
      </c>
      <c r="E27" s="128">
        <f>VLOOKUP(B27,Прайс!A23:AC399,8,FALSE)</f>
        <v>23106.36</v>
      </c>
      <c r="F27" s="128">
        <f t="shared" si="1"/>
        <v>0</v>
      </c>
    </row>
    <row r="28" spans="1:6" hidden="1" x14ac:dyDescent="0.25">
      <c r="A28" s="144" t="s">
        <v>70</v>
      </c>
      <c r="B28" s="144" t="s">
        <v>69</v>
      </c>
      <c r="C28" s="126">
        <f>IF(AND(Конфигуратор!$E$4=Конфигуратор!$G$189,Конфигуратор!$E$5=Конфигуратор!$H$189,SUM(Конфигуратор!$L$20,Конфигуратор!$P$20,Конфигуратор!$T$20,Конфигуратор!$X$20,Конфигуратор!$AB$20)=0),Конфигуратор!$H$20,IF(AND(Конфигуратор!$E$4=Конфигуратор!$G$189,Конфигуратор!$E$5=Конфигуратор!$H$189,SUM(Конфигуратор!$L$20,Конфигуратор!$P$20,Конфигуратор!$T$20,Конфигуратор!$X$20,Конфигуратор!$AB$20)&lt;&gt;0),1+Конфигуратор!$E$8,0))</f>
        <v>0</v>
      </c>
      <c r="D28" s="126" t="str">
        <f>VLOOKUP(B28,Прайс!A24:AC400,7,FALSE)</f>
        <v>упак.</v>
      </c>
      <c r="E28" s="128">
        <f>VLOOKUP(B28,Прайс!A24:AC400,8,FALSE)</f>
        <v>29819.599999999999</v>
      </c>
      <c r="F28" s="128">
        <f t="shared" si="1"/>
        <v>0</v>
      </c>
    </row>
    <row r="29" spans="1:6" hidden="1" x14ac:dyDescent="0.25">
      <c r="A29" s="144" t="s">
        <v>72</v>
      </c>
      <c r="B29" s="144" t="s">
        <v>71</v>
      </c>
      <c r="C29" s="126">
        <f>IF(Конфигуратор!$E$7=Конфигуратор!$D$185,SUM(Конфигуратор!AK53,Конфигуратор!AN53,Конфигуратор!AQ53,Конфигуратор!AT53,Конфигуратор!AW53,Конфигуратор!AZ53),0)</f>
        <v>0</v>
      </c>
      <c r="D29" s="126" t="str">
        <f>VLOOKUP(B29,Прайс!A25:AC401,7,FALSE)</f>
        <v>упак.</v>
      </c>
      <c r="E29" s="128">
        <f>VLOOKUP(B29,Прайс!A25:AC401,8,FALSE)</f>
        <v>6160.81</v>
      </c>
      <c r="F29" s="128">
        <f t="shared" si="1"/>
        <v>0</v>
      </c>
    </row>
    <row r="30" spans="1:6" hidden="1" x14ac:dyDescent="0.25">
      <c r="A30" s="144" t="s">
        <v>74</v>
      </c>
      <c r="B30" s="144" t="s">
        <v>73</v>
      </c>
      <c r="C30" s="126">
        <f>IF(Конфигуратор!$E$7=Конфигуратор!$D$185,SUM(Конфигуратор!AK54,Конфигуратор!AN54,Конфигуратор!AQ54,Конфигуратор!AT54,Конфигуратор!AW54,Конфигуратор!AZ54),0)</f>
        <v>0</v>
      </c>
      <c r="D30" s="126" t="str">
        <f>VLOOKUP(B30,Прайс!A26:AC402,7,FALSE)</f>
        <v>упак.</v>
      </c>
      <c r="E30" s="128">
        <f>VLOOKUP(B30,Прайс!A26:AC402,8,FALSE)</f>
        <v>7704.26</v>
      </c>
      <c r="F30" s="128">
        <f t="shared" si="1"/>
        <v>0</v>
      </c>
    </row>
    <row r="31" spans="1:6" hidden="1" x14ac:dyDescent="0.25">
      <c r="A31" s="144" t="s">
        <v>76</v>
      </c>
      <c r="B31" s="144" t="s">
        <v>75</v>
      </c>
      <c r="C31" s="126">
        <f>IF(Конфигуратор!$E$7=Конфигуратор!$D$185,SUM(Конфигуратор!AK55,Конфигуратор!AN55,Конфигуратор!AQ55,Конфигуратор!AT55,Конфигуратор!AW55,Конфигуратор!AZ55),0)</f>
        <v>0</v>
      </c>
      <c r="D31" s="126" t="str">
        <f>VLOOKUP(B31,Прайс!A27:AC403,7,FALSE)</f>
        <v>упак.</v>
      </c>
      <c r="E31" s="128">
        <f>VLOOKUP(B31,Прайс!A27:AC403,8,FALSE)</f>
        <v>10829.48</v>
      </c>
      <c r="F31" s="128">
        <f t="shared" si="1"/>
        <v>0</v>
      </c>
    </row>
    <row r="32" spans="1:6" hidden="1" x14ac:dyDescent="0.25">
      <c r="A32" s="144" t="s">
        <v>78</v>
      </c>
      <c r="B32" s="144" t="s">
        <v>77</v>
      </c>
      <c r="C32" s="126">
        <f>IF(Конфигуратор!$E$7=Конфигуратор!$D$185,SUM(Конфигуратор!AK56,Конфигуратор!AN56,Конфигуратор!AQ56,Конфигуратор!AT56,Конфигуратор!AW56,Конфигуратор!AZ56),0)</f>
        <v>0</v>
      </c>
      <c r="D32" s="126" t="str">
        <f>VLOOKUP(B32,Прайс!A28:AC404,7,FALSE)</f>
        <v>упак.</v>
      </c>
      <c r="E32" s="128">
        <f>VLOOKUP(B32,Прайс!A28:AC404,8,FALSE)</f>
        <v>13791.98</v>
      </c>
      <c r="F32" s="128">
        <f t="shared" si="1"/>
        <v>0</v>
      </c>
    </row>
    <row r="33" spans="1:6" hidden="1" x14ac:dyDescent="0.25">
      <c r="A33" s="144" t="s">
        <v>80</v>
      </c>
      <c r="B33" s="144" t="s">
        <v>79</v>
      </c>
      <c r="C33" s="126">
        <f>IF(Конфигуратор!$E$7=Конфигуратор!$D$185,SUM(Конфигуратор!AK57,Конфигуратор!AN57,Конфигуратор!AQ57,Конфигуратор!AT57,Конфигуратор!AW57,Конфигуратор!AZ57),0)</f>
        <v>0</v>
      </c>
      <c r="D33" s="126" t="str">
        <f>VLOOKUP(B33,Прайс!A29:AC405,7,FALSE)</f>
        <v>упак.</v>
      </c>
      <c r="E33" s="128">
        <f>VLOOKUP(B33,Прайс!A29:AC405,8,FALSE)</f>
        <v>6815.6</v>
      </c>
      <c r="F33" s="128">
        <f t="shared" si="1"/>
        <v>0</v>
      </c>
    </row>
    <row r="34" spans="1:6" hidden="1" x14ac:dyDescent="0.25">
      <c r="A34" s="144" t="s">
        <v>82</v>
      </c>
      <c r="B34" s="144" t="s">
        <v>81</v>
      </c>
      <c r="C34" s="126">
        <f>IF(Конфигуратор!$E$7=Конфигуратор!$D$185,SUM(Конфигуратор!AK58,Конфигуратор!AN58,Конфигуратор!AQ58,Конфигуратор!AT58,Конфигуратор!AW58,Конфигуратор!AZ58),0)</f>
        <v>0</v>
      </c>
      <c r="D34" s="126" t="str">
        <f>VLOOKUP(B34,Прайс!A30:AC406,7,FALSE)</f>
        <v>упак.</v>
      </c>
      <c r="E34" s="128">
        <f>VLOOKUP(B34,Прайс!A30:AC406,8,FALSE)</f>
        <v>8490.92</v>
      </c>
      <c r="F34" s="128">
        <f t="shared" si="1"/>
        <v>0</v>
      </c>
    </row>
    <row r="35" spans="1:6" hidden="1" x14ac:dyDescent="0.25">
      <c r="A35" s="144" t="s">
        <v>84</v>
      </c>
      <c r="B35" s="144" t="s">
        <v>83</v>
      </c>
      <c r="C35" s="126">
        <f>IF(Конфигуратор!$E$7=Конфигуратор!$D$185,SUM(Конфигуратор!AK59,Конфигуратор!AN59,Конфигуратор!AQ59,Конфигуратор!AT59,Конфигуратор!AW59,Конфигуратор!AZ59),0)</f>
        <v>0</v>
      </c>
      <c r="D35" s="126" t="str">
        <f>VLOOKUP(B35,Прайс!A31:AC407,7,FALSE)</f>
        <v>упак.</v>
      </c>
      <c r="E35" s="128">
        <f>VLOOKUP(B35,Прайс!A31:AC407,8,FALSE)</f>
        <v>11939.65</v>
      </c>
      <c r="F35" s="128">
        <f t="shared" si="1"/>
        <v>0</v>
      </c>
    </row>
    <row r="36" spans="1:6" hidden="1" x14ac:dyDescent="0.25">
      <c r="A36" s="144" t="s">
        <v>86</v>
      </c>
      <c r="B36" s="144" t="s">
        <v>85</v>
      </c>
      <c r="C36" s="126">
        <f>IF(Конфигуратор!$E$7=Конфигуратор!$D$185,SUM(Конфигуратор!AK60,Конфигуратор!AN60,Конфигуратор!AQ60,Конфигуратор!AT60,Конфигуратор!AW60,Конфигуратор!AZ60),0)</f>
        <v>0</v>
      </c>
      <c r="D36" s="126" t="str">
        <f>VLOOKUP(B36,Прайс!A32:AC408,7,FALSE)</f>
        <v>упак.</v>
      </c>
      <c r="E36" s="128">
        <f>VLOOKUP(B36,Прайс!A32:AC408,8,FALSE)</f>
        <v>15233.12</v>
      </c>
      <c r="F36" s="128">
        <f t="shared" si="1"/>
        <v>0</v>
      </c>
    </row>
    <row r="37" spans="1:6" hidden="1" x14ac:dyDescent="0.25">
      <c r="A37" s="144" t="s">
        <v>88</v>
      </c>
      <c r="B37" s="144" t="s">
        <v>87</v>
      </c>
      <c r="C37" s="126">
        <f>IF(Конфигуратор!$E$7=Конфигуратор!$D$185,SUM(Конфигуратор!AK61,Конфигуратор!AN61,Конфигуратор!AQ61,Конфигуратор!AT61,Конфигуратор!AW61,Конфигуратор!AZ61),0)</f>
        <v>0</v>
      </c>
      <c r="D37" s="126" t="str">
        <f>VLOOKUP(B37,Прайс!A33:AC409,7,FALSE)</f>
        <v>упак.</v>
      </c>
      <c r="E37" s="128">
        <f>VLOOKUP(B37,Прайс!A33:AC409,8,FALSE)</f>
        <v>7438.24</v>
      </c>
      <c r="F37" s="128">
        <f t="shared" si="1"/>
        <v>0</v>
      </c>
    </row>
    <row r="38" spans="1:6" hidden="1" x14ac:dyDescent="0.25">
      <c r="A38" s="144" t="s">
        <v>90</v>
      </c>
      <c r="B38" s="144" t="s">
        <v>89</v>
      </c>
      <c r="C38" s="126">
        <f>IF(Конфигуратор!$E$7=Конфигуратор!$D$185,SUM(Конфигуратор!AK62,Конфигуратор!AN62,Конфигуратор!AQ62,Конфигуратор!AT62,Конфигуратор!AW62,Конфигуратор!AZ62),0)</f>
        <v>0</v>
      </c>
      <c r="D38" s="126" t="str">
        <f>VLOOKUP(B38,Прайс!A34:AC410,7,FALSE)</f>
        <v>упак.</v>
      </c>
      <c r="E38" s="128">
        <f>VLOOKUP(B38,Прайс!A34:AC410,8,FALSE)</f>
        <v>9284.08</v>
      </c>
      <c r="F38" s="128">
        <f t="shared" si="1"/>
        <v>0</v>
      </c>
    </row>
    <row r="39" spans="1:6" hidden="1" x14ac:dyDescent="0.25">
      <c r="A39" s="144" t="s">
        <v>92</v>
      </c>
      <c r="B39" s="144" t="s">
        <v>91</v>
      </c>
      <c r="C39" s="126">
        <f>IF(Конфигуратор!$E$7=Конфигуратор!$D$185,SUM(Конфигуратор!AK63,Конфигуратор!AN63,Конфигуратор!AQ63,Конфигуратор!AT63,Конфигуратор!AW63,Конфигуратор!AZ63),0)</f>
        <v>0</v>
      </c>
      <c r="D39" s="126" t="str">
        <f>VLOOKUP(B39,Прайс!A35:AC411,7,FALSE)</f>
        <v>упак.</v>
      </c>
      <c r="E39" s="128">
        <f>VLOOKUP(B39,Прайс!A35:AC411,8,FALSE)</f>
        <v>13059.23</v>
      </c>
      <c r="F39" s="128">
        <f t="shared" si="1"/>
        <v>0</v>
      </c>
    </row>
    <row r="40" spans="1:6" hidden="1" x14ac:dyDescent="0.25">
      <c r="A40" s="144" t="s">
        <v>94</v>
      </c>
      <c r="B40" s="144" t="s">
        <v>93</v>
      </c>
      <c r="C40" s="126">
        <f>IF(Конфигуратор!$E$7=Конфигуратор!$D$185,SUM(Конфигуратор!AK64,Конфигуратор!AN64,Конфигуратор!AQ64,Конфигуратор!AT64,Конфигуратор!AW64,Конфигуратор!AZ64),0)</f>
        <v>0</v>
      </c>
      <c r="D40" s="126" t="str">
        <f>VLOOKUP(B40,Прайс!A36:AC412,7,FALSE)</f>
        <v>упак.</v>
      </c>
      <c r="E40" s="128">
        <f>VLOOKUP(B40,Прайс!A36:AC412,8,FALSE)</f>
        <v>16715.18</v>
      </c>
      <c r="F40" s="128">
        <f t="shared" si="1"/>
        <v>0</v>
      </c>
    </row>
    <row r="41" spans="1:6" hidden="1" x14ac:dyDescent="0.25">
      <c r="A41" s="144" t="s">
        <v>96</v>
      </c>
      <c r="B41" s="144" t="s">
        <v>95</v>
      </c>
      <c r="C41" s="126">
        <f>IF(Конфигуратор!$E$7=Конфигуратор!$D$185,SUM(Конфигуратор!AK65,Конфигуратор!AN65,Конфигуратор!AQ65,Конфигуратор!AT65,Конфигуратор!AW65,Конфигуратор!AZ65),SUM(Конфигуратор!AK65,Конфигуратор!AN65,Конфигуратор!AQ65,Конфигуратор!AT65,Конфигуратор!AW65,Конфигуратор!AZ65)*2)</f>
        <v>0</v>
      </c>
      <c r="D41" s="126" t="str">
        <f>VLOOKUP(B41,Прайс!A37:AC413,7,FALSE)</f>
        <v>упак.</v>
      </c>
      <c r="E41" s="128">
        <f>VLOOKUP(B41,Прайс!A37:AC413,8,FALSE)</f>
        <v>27191.67</v>
      </c>
      <c r="F41" s="128">
        <f t="shared" si="1"/>
        <v>0</v>
      </c>
    </row>
    <row r="42" spans="1:6" hidden="1" x14ac:dyDescent="0.25">
      <c r="A42" s="144" t="s">
        <v>99</v>
      </c>
      <c r="B42" s="144" t="s">
        <v>98</v>
      </c>
      <c r="C42" s="126">
        <f>IF(Конфигуратор!$E$7=Конфигуратор!$D$185,SUM(Конфигуратор!AK67,Конфигуратор!AN67,Конфигуратор!AQ67,Конфигуратор!AT67,Конфигуратор!AW67,Конфигуратор!AZ67),SUM(Конфигуратор!AK67,Конфигуратор!AN67,Конфигуратор!AQ67,Конфигуратор!AT67,Конфигуратор!AW67,Конфигуратор!AZ67)*2)</f>
        <v>0</v>
      </c>
      <c r="D42" s="126" t="str">
        <f>VLOOKUP(B42,Прайс!A38:AC414,7,FALSE)</f>
        <v>упак.</v>
      </c>
      <c r="E42" s="128">
        <f>VLOOKUP(B42,Прайс!A38:AC414,8,FALSE)</f>
        <v>29095.83</v>
      </c>
      <c r="F42" s="128">
        <f t="shared" si="1"/>
        <v>0</v>
      </c>
    </row>
    <row r="43" spans="1:6" hidden="1" x14ac:dyDescent="0.25">
      <c r="A43" s="144" t="s">
        <v>101</v>
      </c>
      <c r="B43" s="144" t="s">
        <v>100</v>
      </c>
      <c r="C43" s="126">
        <f>IF(Конфигуратор!$E$7=Конфигуратор!$D$185,SUM(Конфигуратор!AK68,Конфигуратор!AN68,Конфигуратор!AQ68,Конфигуратор!AT68,Конфигуратор!AW68,Конфигуратор!AZ68),SUM(Конфигуратор!AK68,Конфигуратор!AN68,Конфигуратор!AQ68,Конфигуратор!AT68,Конфигуратор!AW68,Конфигуратор!AZ68)*2)</f>
        <v>0</v>
      </c>
      <c r="D43" s="126" t="str">
        <f>VLOOKUP(B43,Прайс!A39:AC415,7,FALSE)</f>
        <v>упак.</v>
      </c>
      <c r="E43" s="128">
        <f>VLOOKUP(B43,Прайс!A39:AC415,8,FALSE)</f>
        <v>33139.14</v>
      </c>
      <c r="F43" s="128">
        <f t="shared" si="1"/>
        <v>0</v>
      </c>
    </row>
    <row r="44" spans="1:6" hidden="1" x14ac:dyDescent="0.25">
      <c r="A44" s="144" t="s">
        <v>103</v>
      </c>
      <c r="B44" s="144" t="s">
        <v>102</v>
      </c>
      <c r="C44" s="126">
        <f>IF(Конфигуратор!$E$7=Конфигуратор!$D$185,SUM(Конфигуратор!AK69,Конфигуратор!AN69,Конфигуратор!AQ69,Конфигуратор!AT69,Конфигуратор!AW69,Конфигуратор!AZ69),SUM(Конфигуратор!AK69,Конфигуратор!AN69,Конфигуратор!AQ69,Конфигуратор!AT69,Конфигуратор!AW69,Конфигуратор!AZ69)*2)</f>
        <v>0</v>
      </c>
      <c r="D44" s="126" t="str">
        <f>VLOOKUP(B44,Прайс!A40:AC416,7,FALSE)</f>
        <v>упак.</v>
      </c>
      <c r="E44" s="128">
        <f>VLOOKUP(B44,Прайс!A40:AC416,8,FALSE)</f>
        <v>37409.01</v>
      </c>
      <c r="F44" s="128">
        <f t="shared" si="1"/>
        <v>0</v>
      </c>
    </row>
    <row r="45" spans="1:6" hidden="1" x14ac:dyDescent="0.25">
      <c r="A45" s="144" t="s">
        <v>105</v>
      </c>
      <c r="B45" s="144" t="s">
        <v>104</v>
      </c>
      <c r="C45" s="126">
        <f>IF(Конфигуратор!$E$7=Конфигуратор!$D$185,SUM(Конфигуратор!AK70,Конфигуратор!AN70,Конфигуратор!AQ70,Конфигуратор!AT70,Конфигуратор!AW70,Конфигуратор!AZ70),SUM(Конфигуратор!AK70,Конфигуратор!AN70,Конфигуратор!AQ70,Конфигуратор!AT70,Конфигуратор!AW70,Конфигуратор!AZ70)*2)</f>
        <v>0</v>
      </c>
      <c r="D45" s="126" t="str">
        <f>VLOOKUP(B45,Прайс!A41:AC417,7,FALSE)</f>
        <v>упак.</v>
      </c>
      <c r="E45" s="128">
        <f>VLOOKUP(B45,Прайс!A41:AC417,8,FALSE)</f>
        <v>28149.14</v>
      </c>
      <c r="F45" s="128">
        <f t="shared" si="1"/>
        <v>0</v>
      </c>
    </row>
    <row r="46" spans="1:6" hidden="1" x14ac:dyDescent="0.25">
      <c r="A46" s="144" t="s">
        <v>107</v>
      </c>
      <c r="B46" s="144" t="s">
        <v>106</v>
      </c>
      <c r="C46" s="126">
        <f>IF(Конфигуратор!$E$7=Конфигуратор!$D$185,SUM(Конфигуратор!AK71,Конфигуратор!AN71,Конфигуратор!AQ71,Конфигуратор!AT71,Конфигуратор!AW71,Конфигуратор!AZ71),SUM(Конфигуратор!AK71,Конфигуратор!AN71,Конфигуратор!AQ71,Конфигуратор!AT71,Конфигуратор!AW71,Конфигуратор!AZ71)*2)</f>
        <v>0</v>
      </c>
      <c r="D46" s="126" t="str">
        <f>VLOOKUP(B46,Прайс!A42:AC418,7,FALSE)</f>
        <v>упак.</v>
      </c>
      <c r="E46" s="128">
        <f>VLOOKUP(B46,Прайс!A42:AC418,8,FALSE)</f>
        <v>30453.4</v>
      </c>
      <c r="F46" s="128">
        <f t="shared" si="1"/>
        <v>0</v>
      </c>
    </row>
    <row r="47" spans="1:6" hidden="1" x14ac:dyDescent="0.25">
      <c r="A47" s="144" t="s">
        <v>109</v>
      </c>
      <c r="B47" s="144" t="s">
        <v>108</v>
      </c>
      <c r="C47" s="126">
        <f>IF(Конфигуратор!$E$7=Конфигуратор!$D$185,SUM(Конфигуратор!AK73,Конфигуратор!AN73,Конфигуратор!AQ73,Конфигуратор!AT73,Конфигуратор!AW73,Конфигуратор!AZ73),SUM(Конфигуратор!AK73,Конфигуратор!AN73,Конфигуратор!AQ73,Конфигуратор!AT73,Конфигуратор!AW73,Конфигуратор!AZ73)*2)</f>
        <v>0</v>
      </c>
      <c r="D47" s="126" t="str">
        <f>VLOOKUP(B47,Прайс!A43:AC419,7,FALSE)</f>
        <v>упак.</v>
      </c>
      <c r="E47" s="128">
        <f>VLOOKUP(B47,Прайс!A43:AC419,8,FALSE)</f>
        <v>35017.379999999997</v>
      </c>
      <c r="F47" s="128">
        <f t="shared" si="1"/>
        <v>0</v>
      </c>
    </row>
    <row r="48" spans="1:6" hidden="1" x14ac:dyDescent="0.25">
      <c r="A48" s="144" t="s">
        <v>111</v>
      </c>
      <c r="B48" s="144" t="s">
        <v>110</v>
      </c>
      <c r="C48" s="126">
        <f>IF(Конфигуратор!$E$7=Конфигуратор!$D$185,SUM(Конфигуратор!AK74,Конфигуратор!AN74,Конфигуратор!AQ74,Конфигуратор!AT74,Конфигуратор!AW74,Конфигуратор!AZ74),SUM(Конфигуратор!AK74,Конфигуратор!AN74,Конфигуратор!AQ74,Конфигуратор!AT74,Конфигуратор!AW74,Конфигуратор!AZ74)*2)</f>
        <v>0</v>
      </c>
      <c r="D48" s="126" t="str">
        <f>VLOOKUP(B48,Прайс!A44:AC420,7,FALSE)</f>
        <v>упак.</v>
      </c>
      <c r="E48" s="128">
        <f>VLOOKUP(B48,Прайс!A44:AC420,8,FALSE)</f>
        <v>39412.17</v>
      </c>
      <c r="F48" s="128">
        <f t="shared" si="1"/>
        <v>0</v>
      </c>
    </row>
    <row r="49" spans="1:6" hidden="1" x14ac:dyDescent="0.25">
      <c r="A49" s="144" t="s">
        <v>113</v>
      </c>
      <c r="B49" s="144" t="s">
        <v>112</v>
      </c>
      <c r="C49" s="126">
        <f>IF(Конфигуратор!$E$7=Конфигуратор!$D$185,SUM(Конфигуратор!AK75,Конфигуратор!AN75,Конфигуратор!AQ75,Конфигуратор!AT75,Конфигуратор!AW75,Конфигуратор!AZ75),SUM(Конфигуратор!AK75,Конфигуратор!AN75,Конфигуратор!AQ75,Конфигуратор!AT75,Конфигуратор!AW75,Конфигуратор!AZ75)*2)</f>
        <v>0</v>
      </c>
      <c r="D49" s="126" t="str">
        <f>VLOOKUP(B49,Прайс!A45:AC421,7,FALSE)</f>
        <v>упак.</v>
      </c>
      <c r="E49" s="128">
        <f>VLOOKUP(B49,Прайс!A45:AC421,8,FALSE)</f>
        <v>29108.93</v>
      </c>
      <c r="F49" s="128">
        <f t="shared" si="1"/>
        <v>0</v>
      </c>
    </row>
    <row r="50" spans="1:6" hidden="1" x14ac:dyDescent="0.25">
      <c r="A50" s="144" t="s">
        <v>115</v>
      </c>
      <c r="B50" s="144" t="s">
        <v>114</v>
      </c>
      <c r="C50" s="126">
        <f>IF(Конфигуратор!$E$7=Конфигуратор!$D$185,SUM(Конфигуратор!AK76,Конфигуратор!AN76,Конфигуратор!AQ76,Конфигуратор!AT76,Конфигуратор!AW76,Конфигуратор!AZ76),SUM(Конфигуратор!AK76,Конфигуратор!AN76,Конфигуратор!AQ76,Конфигуратор!AT76,Конфигуратор!AW76,Конфигуратор!AZ76)*2)</f>
        <v>0</v>
      </c>
      <c r="D50" s="126" t="str">
        <f>VLOOKUP(B50,Прайс!A46:AC422,7,FALSE)</f>
        <v>упак.</v>
      </c>
      <c r="E50" s="128">
        <f>VLOOKUP(B50,Прайс!A46:AC422,8,FALSE)</f>
        <v>31619.66</v>
      </c>
      <c r="F50" s="128">
        <f t="shared" si="1"/>
        <v>0</v>
      </c>
    </row>
    <row r="51" spans="1:6" hidden="1" x14ac:dyDescent="0.25">
      <c r="A51" s="144" t="s">
        <v>117</v>
      </c>
      <c r="B51" s="144" t="s">
        <v>116</v>
      </c>
      <c r="C51" s="126">
        <f>IF(Конфигуратор!$E$7=Конфигуратор!$D$185,SUM(Конфигуратор!AK77,Конфигуратор!AN77,Конфигуратор!AQ77,Конфигуратор!AT77,Конфигуратор!AW77,Конфигуратор!AZ77),SUM(Конфигуратор!AK77,Конфигуратор!AN77,Конфигуратор!AQ77,Конфигуратор!AT77,Конфигуратор!AW77,Конфигуратор!AZ77)*2)</f>
        <v>0</v>
      </c>
      <c r="D51" s="126" t="str">
        <f>VLOOKUP(B51,Прайс!A47:AC423,7,FALSE)</f>
        <v>упак.</v>
      </c>
      <c r="E51" s="128">
        <f>VLOOKUP(B51,Прайс!A47:AC423,8,FALSE)</f>
        <v>36284.1</v>
      </c>
      <c r="F51" s="128">
        <f t="shared" si="1"/>
        <v>0</v>
      </c>
    </row>
    <row r="52" spans="1:6" hidden="1" x14ac:dyDescent="0.25">
      <c r="A52" s="144" t="s">
        <v>119</v>
      </c>
      <c r="B52" s="144" t="s">
        <v>118</v>
      </c>
      <c r="C52" s="126">
        <f>IF(Конфигуратор!$E$7=Конфигуратор!$D$185,SUM(Конфигуратор!AK78,Конфигуратор!AN78,Конфигуратор!AQ78,Конфигуратор!AT78,Конфигуратор!AW78,Конфигуратор!AZ78),SUM(Конфигуратор!AK78,Конфигуратор!AN78,Конфигуратор!AQ78,Конфигуратор!AT78,Конфигуратор!AW78,Конфигуратор!AZ78)*2)</f>
        <v>0</v>
      </c>
      <c r="D52" s="126" t="str">
        <f>VLOOKUP(B52,Прайс!A48:AC424,7,FALSE)</f>
        <v>упак.</v>
      </c>
      <c r="E52" s="128">
        <f>VLOOKUP(B52,Прайс!A48:AC424,8,FALSE)</f>
        <v>41459.89</v>
      </c>
      <c r="F52" s="128">
        <f t="shared" si="1"/>
        <v>0</v>
      </c>
    </row>
    <row r="53" spans="1:6" hidden="1" x14ac:dyDescent="0.25">
      <c r="A53" s="144" t="s">
        <v>121</v>
      </c>
      <c r="B53" s="144" t="s">
        <v>120</v>
      </c>
      <c r="C53" s="126">
        <f>SUM(Конфигуратор!AK79,Конфигуратор!AN79,Конфигуратор!AQ79,Конфигуратор!AT79,Конфигуратор!AW79,Конфигуратор!AZ79)</f>
        <v>0</v>
      </c>
      <c r="D53" s="126" t="str">
        <f>VLOOKUP(B53,Прайс!A49:AC425,7,FALSE)</f>
        <v>упак.</v>
      </c>
      <c r="E53" s="128">
        <f>VLOOKUP(B53,Прайс!A49:AC425,8,FALSE)</f>
        <v>3203.42</v>
      </c>
      <c r="F53" s="128">
        <f t="shared" si="1"/>
        <v>0</v>
      </c>
    </row>
    <row r="54" spans="1:6" hidden="1" x14ac:dyDescent="0.25">
      <c r="A54" s="144" t="s">
        <v>124</v>
      </c>
      <c r="B54" s="144" t="s">
        <v>123</v>
      </c>
      <c r="C54" s="126">
        <f>SUM(Конфигуратор!AK80,Конфигуратор!AN80,Конфигуратор!AQ80,Конфигуратор!AT80,Конфигуратор!AW80,Конфигуратор!AZ80)</f>
        <v>0</v>
      </c>
      <c r="D54" s="126" t="str">
        <f>VLOOKUP(B54,Прайс!A50:AC426,7,FALSE)</f>
        <v>упак.</v>
      </c>
      <c r="E54" s="128">
        <f>VLOOKUP(B54,Прайс!A50:AC426,8,FALSE)</f>
        <v>3838.46</v>
      </c>
      <c r="F54" s="128">
        <f t="shared" si="1"/>
        <v>0</v>
      </c>
    </row>
    <row r="55" spans="1:6" hidden="1" x14ac:dyDescent="0.25">
      <c r="A55" s="144" t="s">
        <v>126</v>
      </c>
      <c r="B55" s="144" t="s">
        <v>125</v>
      </c>
      <c r="C55" s="126">
        <f>SUM(Конфигуратор!AK81,Конфигуратор!AN81,Конфигуратор!AQ81,Конфигуратор!AT81,Конфигуратор!AW81,Конфигуратор!AZ81)</f>
        <v>0</v>
      </c>
      <c r="D55" s="126" t="str">
        <f>VLOOKUP(B55,Прайс!A51:AC427,7,FALSE)</f>
        <v>упак.</v>
      </c>
      <c r="E55" s="128">
        <f>VLOOKUP(B55,Прайс!A51:AC427,8,FALSE)</f>
        <v>4473.5</v>
      </c>
      <c r="F55" s="128">
        <f t="shared" si="1"/>
        <v>0</v>
      </c>
    </row>
    <row r="56" spans="1:6" hidden="1" x14ac:dyDescent="0.25">
      <c r="A56" s="242" t="s">
        <v>1014</v>
      </c>
      <c r="B56" s="251" t="s">
        <v>1007</v>
      </c>
      <c r="C56" s="126">
        <f>SUM(Конфигуратор!AK40,Конфигуратор!AN40,Конфигуратор!AQ40,Конфигуратор!AT40,Конфигуратор!AW40,Конфигуратор!AZ40)</f>
        <v>0</v>
      </c>
      <c r="D56" s="126" t="str">
        <f>VLOOKUP(B56,Прайс!A52:AC428,7,FALSE)</f>
        <v>упак.</v>
      </c>
      <c r="E56" s="128">
        <f>VLOOKUP(B56,Прайс!A52:AC428,8,FALSE)</f>
        <v>2539.5200000000004</v>
      </c>
      <c r="F56" s="128">
        <f t="shared" si="1"/>
        <v>0</v>
      </c>
    </row>
    <row r="57" spans="1:6" hidden="1" x14ac:dyDescent="0.25">
      <c r="A57" s="242" t="s">
        <v>1036</v>
      </c>
      <c r="B57" s="251" t="s">
        <v>1008</v>
      </c>
      <c r="C57" s="126">
        <f>SUM(Конфигуратор!AK41,Конфигуратор!AN41,Конфигуратор!AQ41,Конфигуратор!AT41,Конфигуратор!AW41,Конфигуратор!AZ41)</f>
        <v>0</v>
      </c>
      <c r="D57" s="126" t="str">
        <f>VLOOKUP(B57,Прайс!A53:AC429,7,FALSE)</f>
        <v>упак.</v>
      </c>
      <c r="E57" s="128">
        <f>VLOOKUP(B57,Прайс!A53:AC429,8,FALSE)</f>
        <v>3326.4</v>
      </c>
      <c r="F57" s="128">
        <f t="shared" si="1"/>
        <v>0</v>
      </c>
    </row>
    <row r="58" spans="1:6" hidden="1" x14ac:dyDescent="0.25">
      <c r="A58" s="242" t="s">
        <v>1037</v>
      </c>
      <c r="B58" s="251" t="s">
        <v>1009</v>
      </c>
      <c r="C58" s="126">
        <f>SUM(Конфигуратор!AK42,Конфигуратор!AN42,Конфигуратор!AQ42,Конфигуратор!AT42,Конфигуратор!AW42,Конфигуратор!AZ42)</f>
        <v>0</v>
      </c>
      <c r="D58" s="126" t="str">
        <f>VLOOKUP(B58,Прайс!A54:AC430,7,FALSE)</f>
        <v>упак.</v>
      </c>
      <c r="E58" s="128">
        <f>VLOOKUP(B58,Прайс!A54:AC430,8,FALSE)</f>
        <v>3984.3199999999997</v>
      </c>
      <c r="F58" s="128">
        <f t="shared" si="1"/>
        <v>0</v>
      </c>
    </row>
    <row r="59" spans="1:6" hidden="1" x14ac:dyDescent="0.25">
      <c r="A59" s="242" t="s">
        <v>1038</v>
      </c>
      <c r="B59" s="251" t="s">
        <v>1010</v>
      </c>
      <c r="C59" s="126">
        <f>SUM(Конфигуратор!AK43,Конфигуратор!AN43,Конфигуратор!AQ43,Конфигуратор!AT43,Конфигуратор!AW43,Конфигуратор!AZ43)</f>
        <v>0</v>
      </c>
      <c r="D59" s="126" t="str">
        <f>VLOOKUP(B59,Прайс!A55:AC431,7,FALSE)</f>
        <v>упак.</v>
      </c>
      <c r="E59" s="128">
        <f>VLOOKUP(B59,Прайс!A55:AC431,8,FALSE)</f>
        <v>4739.84</v>
      </c>
      <c r="F59" s="128">
        <f t="shared" si="1"/>
        <v>0</v>
      </c>
    </row>
    <row r="60" spans="1:6" ht="16.5" hidden="1" x14ac:dyDescent="0.3">
      <c r="A60" s="228" t="s">
        <v>1011</v>
      </c>
      <c r="B60" s="228" t="s">
        <v>1015</v>
      </c>
      <c r="C60" s="126">
        <f>SUM(Конфигуратор!AK44,Конфигуратор!AN44,Конфигуратор!AQ44,Конфигуратор!AT44,Конфигуратор!AW44,Конфигуратор!AZ44)</f>
        <v>0</v>
      </c>
      <c r="D60" s="126" t="str">
        <f>VLOOKUP(B60,Прайс!A56:AC432,7,FALSE)</f>
        <v>упак.</v>
      </c>
      <c r="E60" s="128">
        <f>VLOOKUP(B60,Прайс!A56:AC432,8,FALSE)</f>
        <v>2692.8</v>
      </c>
      <c r="F60" s="128">
        <f t="shared" si="1"/>
        <v>0</v>
      </c>
    </row>
    <row r="61" spans="1:6" ht="16.5" hidden="1" x14ac:dyDescent="0.3">
      <c r="A61" s="228" t="s">
        <v>1017</v>
      </c>
      <c r="B61" s="228" t="s">
        <v>1016</v>
      </c>
      <c r="C61" s="126">
        <f>SUM(Конфигуратор!AK45,Конфигуратор!AN45,Конфигуратор!AQ45,Конфигуратор!AT45,Конфигуратор!AW45,Конфигуратор!AZ45)</f>
        <v>0</v>
      </c>
      <c r="D61" s="126" t="str">
        <f>VLOOKUP(B61,Прайс!A57:AC433,7,FALSE)</f>
        <v>упак.</v>
      </c>
      <c r="E61" s="128">
        <f>VLOOKUP(B61,Прайс!A57:AC433,8,FALSE)</f>
        <v>3450.2400000000002</v>
      </c>
      <c r="F61" s="128">
        <f t="shared" si="1"/>
        <v>0</v>
      </c>
    </row>
    <row r="62" spans="1:6" ht="16.5" hidden="1" x14ac:dyDescent="0.3">
      <c r="A62" s="228" t="s">
        <v>1019</v>
      </c>
      <c r="B62" s="228" t="s">
        <v>1018</v>
      </c>
      <c r="C62" s="126">
        <f>SUM(Конфигуратор!AK46,Конфигуратор!AN46,Конфигуратор!AQ46,Конфигуратор!AT46,Конфигуратор!AW46,Конфигуратор!AZ46)</f>
        <v>0</v>
      </c>
      <c r="D62" s="126" t="str">
        <f>VLOOKUP(B62,Прайс!A58:AC434,7,FALSE)</f>
        <v>упак.</v>
      </c>
      <c r="E62" s="128">
        <f>VLOOKUP(B62,Прайс!A58:AC434,8,FALSE)</f>
        <v>4277.4400000000005</v>
      </c>
      <c r="F62" s="128">
        <f t="shared" si="1"/>
        <v>0</v>
      </c>
    </row>
    <row r="63" spans="1:6" ht="16.5" hidden="1" x14ac:dyDescent="0.3">
      <c r="A63" s="228" t="s">
        <v>1021</v>
      </c>
      <c r="B63" s="228" t="s">
        <v>1020</v>
      </c>
      <c r="C63" s="255">
        <f>SUM(Конфигуратор!AK47,Конфигуратор!AN47,Конфигуратор!AQ47,Конфигуратор!AT47,Конфигуратор!AW47,Конфигуратор!AZ47)</f>
        <v>0</v>
      </c>
      <c r="D63" s="126" t="str">
        <f>VLOOKUP(B63,Прайс!A59:AC435,7,FALSE)</f>
        <v>упак.</v>
      </c>
      <c r="E63" s="128">
        <f>VLOOKUP(B63,Прайс!A59:AC435,8,FALSE)</f>
        <v>5150.72</v>
      </c>
      <c r="F63" s="128">
        <f t="shared" si="1"/>
        <v>0</v>
      </c>
    </row>
    <row r="64" spans="1:6" hidden="1" x14ac:dyDescent="0.25">
      <c r="A64" s="144" t="s">
        <v>128</v>
      </c>
      <c r="B64" s="144" t="s">
        <v>127</v>
      </c>
      <c r="C64" s="126">
        <f>SUM(Конфигуратор!AK82,Конфигуратор!AN82,Конфигуратор!AQ82,Конфигуратор!AT82,Конфигуратор!AW82,Конфигуратор!AZ82,Конфигуратор!F11)</f>
        <v>0</v>
      </c>
      <c r="D64" s="126" t="str">
        <f>VLOOKUP(B64,Прайс!A52:AC428,7,FALSE)</f>
        <v>упак.</v>
      </c>
      <c r="E64" s="128">
        <f>VLOOKUP(B64,Прайс!A52:AC428,8,FALSE)</f>
        <v>1368</v>
      </c>
      <c r="F64" s="128">
        <f t="shared" si="1"/>
        <v>0</v>
      </c>
    </row>
    <row r="65" spans="1:6" ht="25.5" hidden="1" x14ac:dyDescent="0.25">
      <c r="A65" s="144" t="s">
        <v>130</v>
      </c>
      <c r="B65" s="144" t="s">
        <v>129</v>
      </c>
      <c r="C65" s="126">
        <f>SUM(Конфигуратор!AK83,Конфигуратор!AN83,Конфигуратор!AQ83,Конфигуратор!AT83,Конфигуратор!AW83,Конфигуратор!AZ83)</f>
        <v>0</v>
      </c>
      <c r="D65" s="126" t="str">
        <f>VLOOKUP(B65,Прайс!A53:AC429,7,FALSE)</f>
        <v>шт</v>
      </c>
      <c r="E65" s="128">
        <f>VLOOKUP(B65,Прайс!A53:AC429,8,FALSE)</f>
        <v>11142.88</v>
      </c>
      <c r="F65" s="128">
        <f t="shared" ref="F65:F96" si="2">E65*C65*(1-$B$1)</f>
        <v>0</v>
      </c>
    </row>
    <row r="66" spans="1:6" ht="25.5" hidden="1" x14ac:dyDescent="0.25">
      <c r="A66" s="144" t="s">
        <v>133</v>
      </c>
      <c r="B66" s="144" t="s">
        <v>132</v>
      </c>
      <c r="C66" s="126">
        <f>SUM(Конфигуратор!AK84,Конфигуратор!AN84,Конфигуратор!AQ84,Конфигуратор!AT84,Конфигуратор!AW84,Конфигуратор!AZ84)</f>
        <v>0</v>
      </c>
      <c r="D66" s="126" t="str">
        <f>VLOOKUP(B66,Прайс!A54:AC430,7,FALSE)</f>
        <v>шт</v>
      </c>
      <c r="E66" s="128">
        <f>VLOOKUP(B66,Прайс!A54:AC430,8,FALSE)</f>
        <v>16184</v>
      </c>
      <c r="F66" s="128">
        <f t="shared" si="2"/>
        <v>0</v>
      </c>
    </row>
    <row r="67" spans="1:6" ht="25.5" hidden="1" x14ac:dyDescent="0.25">
      <c r="A67" s="144" t="s">
        <v>135</v>
      </c>
      <c r="B67" s="144" t="s">
        <v>134</v>
      </c>
      <c r="C67" s="126">
        <f>SUM(Конфигуратор!AK85,Конфигуратор!AN85,Конфигуратор!AQ85,Конфигуратор!AT85,Конфигуратор!AW85,Конфигуратор!AZ85)</f>
        <v>0</v>
      </c>
      <c r="D67" s="126" t="str">
        <f>VLOOKUP(B67,Прайс!A55:AC431,7,FALSE)</f>
        <v>шт</v>
      </c>
      <c r="E67" s="128">
        <f>VLOOKUP(B67,Прайс!A55:AC431,8,FALSE)</f>
        <v>21224</v>
      </c>
      <c r="F67" s="128">
        <f t="shared" si="2"/>
        <v>0</v>
      </c>
    </row>
    <row r="68" spans="1:6" ht="25.5" hidden="1" x14ac:dyDescent="0.25">
      <c r="A68" s="144" t="s">
        <v>137</v>
      </c>
      <c r="B68" s="144" t="s">
        <v>136</v>
      </c>
      <c r="C68" s="126">
        <f>SUM(Конфигуратор!AK86,Конфигуратор!AN86,Конфигуратор!AQ86,Конфигуратор!AT86,Конфигуратор!AW86,Конфигуратор!AZ86)</f>
        <v>0</v>
      </c>
      <c r="D68" s="126" t="str">
        <f>VLOOKUP(B68,Прайс!A56:AC432,7,FALSE)</f>
        <v>шт</v>
      </c>
      <c r="E68" s="128">
        <f>VLOOKUP(B68,Прайс!A56:AC432,8,FALSE)</f>
        <v>12214.72</v>
      </c>
      <c r="F68" s="128">
        <f t="shared" si="2"/>
        <v>0</v>
      </c>
    </row>
    <row r="69" spans="1:6" ht="25.5" hidden="1" x14ac:dyDescent="0.25">
      <c r="A69" s="144" t="s">
        <v>139</v>
      </c>
      <c r="B69" s="144" t="s">
        <v>138</v>
      </c>
      <c r="C69" s="126">
        <f>SUM(Конфигуратор!AK87,Конфигуратор!AN87,Конфигуратор!AQ87,Конфигуратор!AT87,Конфигуратор!AW87,Конфигуратор!AZ87)</f>
        <v>0</v>
      </c>
      <c r="D69" s="126" t="str">
        <f>VLOOKUP(B69,Прайс!A57:AC433,7,FALSE)</f>
        <v>шт</v>
      </c>
      <c r="E69" s="128">
        <f>VLOOKUP(B69,Прайс!A57:AC433,8,FALSE)</f>
        <v>17828.16</v>
      </c>
      <c r="F69" s="128">
        <f t="shared" si="2"/>
        <v>0</v>
      </c>
    </row>
    <row r="70" spans="1:6" ht="25.5" hidden="1" x14ac:dyDescent="0.25">
      <c r="A70" s="144" t="s">
        <v>141</v>
      </c>
      <c r="B70" s="144" t="s">
        <v>140</v>
      </c>
      <c r="C70" s="126">
        <f>SUM(Конфигуратор!AK88,Конфигуратор!AN88,Конфигуратор!AQ88,Конфигуратор!AT88,Конфигуратор!AW88,Конфигуратор!AZ88)</f>
        <v>0</v>
      </c>
      <c r="D70" s="126" t="str">
        <f>VLOOKUP(B70,Прайс!A58:AC434,7,FALSE)</f>
        <v>шт</v>
      </c>
      <c r="E70" s="128">
        <f>VLOOKUP(B70,Прайс!A58:AC434,8,FALSE)</f>
        <v>23450.560000000001</v>
      </c>
      <c r="F70" s="128">
        <f t="shared" si="2"/>
        <v>0</v>
      </c>
    </row>
    <row r="71" spans="1:6" ht="25.5" hidden="1" x14ac:dyDescent="0.25">
      <c r="A71" s="144" t="s">
        <v>143</v>
      </c>
      <c r="B71" s="144" t="s">
        <v>142</v>
      </c>
      <c r="C71" s="126">
        <f>SUM(Конфигуратор!AK89,Конфигуратор!AN89,Конфигуратор!AQ89,Конфигуратор!AT89,Конфигуратор!AW89,Конфигуратор!AZ89)</f>
        <v>0</v>
      </c>
      <c r="D71" s="126" t="str">
        <f>VLOOKUP(B71,Прайс!A59:AC435,7,FALSE)</f>
        <v>шт</v>
      </c>
      <c r="E71" s="128">
        <f>VLOOKUP(B71,Прайс!A59:AC435,8,FALSE)</f>
        <v>11536</v>
      </c>
      <c r="F71" s="128">
        <f t="shared" si="2"/>
        <v>0</v>
      </c>
    </row>
    <row r="72" spans="1:6" ht="25.5" hidden="1" x14ac:dyDescent="0.25">
      <c r="A72" s="144" t="s">
        <v>145</v>
      </c>
      <c r="B72" s="144" t="s">
        <v>144</v>
      </c>
      <c r="C72" s="126">
        <f>SUM(Конфигуратор!AK90,Конфигуратор!AN90,Конфигуратор!AQ90,Конфигуратор!AT90,Конфигуратор!AW90,Конфигуратор!AZ90)</f>
        <v>0</v>
      </c>
      <c r="D72" s="126" t="str">
        <f>VLOOKUP(B72,Прайс!A60:AC436,7,FALSE)</f>
        <v>шт</v>
      </c>
      <c r="E72" s="128">
        <f>VLOOKUP(B72,Прайс!A60:AC436,8,FALSE)</f>
        <v>19454.400000000001</v>
      </c>
      <c r="F72" s="128">
        <f t="shared" si="2"/>
        <v>0</v>
      </c>
    </row>
    <row r="73" spans="1:6" ht="25.5" hidden="1" x14ac:dyDescent="0.25">
      <c r="A73" s="144" t="s">
        <v>147</v>
      </c>
      <c r="B73" s="144" t="s">
        <v>146</v>
      </c>
      <c r="C73" s="126">
        <f>SUM(Конфигуратор!AK91,Конфигуратор!AN91,Конфигуратор!AQ91,Конфигуратор!AT91,Конфигуратор!AW91,Конфигуратор!AZ91)</f>
        <v>0</v>
      </c>
      <c r="D73" s="126" t="str">
        <f>VLOOKUP(B73,Прайс!A61:AC437,7,FALSE)</f>
        <v>шт</v>
      </c>
      <c r="E73" s="128">
        <f>VLOOKUP(B73,Прайс!A61:AC437,8,FALSE)</f>
        <v>25555.040000000001</v>
      </c>
      <c r="F73" s="128">
        <f t="shared" si="2"/>
        <v>0</v>
      </c>
    </row>
    <row r="74" spans="1:6" hidden="1" x14ac:dyDescent="0.25">
      <c r="A74" s="144" t="s">
        <v>149</v>
      </c>
      <c r="B74" s="144" t="s">
        <v>148</v>
      </c>
      <c r="C74" s="126">
        <f>SUM(Конфигуратор!AK92,Конфигуратор!AN92,Конфигуратор!AQ92,Конфигуратор!AT92,Конфигуратор!AW92,Конфигуратор!AZ92)</f>
        <v>0</v>
      </c>
      <c r="D74" s="126" t="str">
        <f>VLOOKUP(B74,Прайс!A62:AC438,7,FALSE)</f>
        <v>шт</v>
      </c>
      <c r="E74" s="128">
        <f>VLOOKUP(B74,Прайс!A62:AC438,8,FALSE)</f>
        <v>2056.3200000000002</v>
      </c>
      <c r="F74" s="128">
        <f t="shared" si="2"/>
        <v>0</v>
      </c>
    </row>
    <row r="75" spans="1:6" hidden="1" x14ac:dyDescent="0.25">
      <c r="A75" s="144" t="s">
        <v>151</v>
      </c>
      <c r="B75" s="144" t="s">
        <v>150</v>
      </c>
      <c r="C75" s="126">
        <f>SUM(Конфигуратор!AK93,Конфигуратор!AN93,Конфигуратор!AQ93,Конфигуратор!AT93,Конфигуратор!AW93,Конфигуратор!AZ93)</f>
        <v>0</v>
      </c>
      <c r="D75" s="126" t="str">
        <f>VLOOKUP(B75,Прайс!A63:AC439,7,FALSE)</f>
        <v>шт</v>
      </c>
      <c r="E75" s="128">
        <f>VLOOKUP(B75,Прайс!A63:AC439,8,FALSE)</f>
        <v>2770.88</v>
      </c>
      <c r="F75" s="128">
        <f t="shared" si="2"/>
        <v>0</v>
      </c>
    </row>
    <row r="76" spans="1:6" hidden="1" x14ac:dyDescent="0.25">
      <c r="A76" s="144" t="s">
        <v>153</v>
      </c>
      <c r="B76" s="144" t="s">
        <v>152</v>
      </c>
      <c r="C76" s="126">
        <f>SUM(Конфигуратор!AK94,Конфигуратор!AN94,Конфигуратор!AQ94,Конфигуратор!AT94,Конфигуратор!AW94,Конфигуратор!AZ94)</f>
        <v>0</v>
      </c>
      <c r="D76" s="126" t="str">
        <f>VLOOKUP(B76,Прайс!A64:AC440,7,FALSE)</f>
        <v>шт</v>
      </c>
      <c r="E76" s="128">
        <f>VLOOKUP(B76,Прайс!A64:AC440,8,FALSE)</f>
        <v>3485.44</v>
      </c>
      <c r="F76" s="128">
        <f t="shared" si="2"/>
        <v>0</v>
      </c>
    </row>
    <row r="77" spans="1:6" hidden="1" x14ac:dyDescent="0.25">
      <c r="A77" s="144" t="s">
        <v>155</v>
      </c>
      <c r="B77" s="144" t="s">
        <v>154</v>
      </c>
      <c r="C77" s="126">
        <f>SUM(Конфигуратор!AK95,Конфигуратор!AN95,Конфигуратор!AQ95,Конфигуратор!AT95,Конфигуратор!AW95,Конфигуратор!AZ95)</f>
        <v>0</v>
      </c>
      <c r="D77" s="126" t="str">
        <f>VLOOKUP(B77,Прайс!A65:AC441,7,FALSE)</f>
        <v>шт</v>
      </c>
      <c r="E77" s="128">
        <f>VLOOKUP(B77,Прайс!A65:AC441,8,FALSE)</f>
        <v>3160.64</v>
      </c>
      <c r="F77" s="128">
        <f t="shared" si="2"/>
        <v>0</v>
      </c>
    </row>
    <row r="78" spans="1:6" hidden="1" x14ac:dyDescent="0.25">
      <c r="A78" s="144" t="s">
        <v>157</v>
      </c>
      <c r="B78" s="144" t="s">
        <v>156</v>
      </c>
      <c r="C78" s="126">
        <f>SUM(Конфигуратор!AK96,Конфигуратор!AN96,Конфигуратор!AQ96,Конфигуратор!AT96,Конфигуратор!AW96,Конфигуратор!AZ96)</f>
        <v>0</v>
      </c>
      <c r="D78" s="126" t="str">
        <f>VLOOKUP(B78,Прайс!A66:AC442,7,FALSE)</f>
        <v>шт</v>
      </c>
      <c r="E78" s="128">
        <f>VLOOKUP(B78,Прайс!A66:AC442,8,FALSE)</f>
        <v>4469.92</v>
      </c>
      <c r="F78" s="128">
        <f t="shared" si="2"/>
        <v>0</v>
      </c>
    </row>
    <row r="79" spans="1:6" hidden="1" x14ac:dyDescent="0.25">
      <c r="A79" s="144" t="s">
        <v>159</v>
      </c>
      <c r="B79" s="144" t="s">
        <v>158</v>
      </c>
      <c r="C79" s="126">
        <f>SUM(Конфигуратор!AK97,Конфигуратор!AN97,Конфигуратор!AQ97,Конфигуратор!AT97,Конфигуратор!AW97,Конфигуратор!AZ97)</f>
        <v>0</v>
      </c>
      <c r="D79" s="126" t="str">
        <f>VLOOKUP(B79,Прайс!A67:AC443,7,FALSE)</f>
        <v>шт</v>
      </c>
      <c r="E79" s="128">
        <f>VLOOKUP(B79,Прайс!A67:AC443,8,FALSE)</f>
        <v>5809.44</v>
      </c>
      <c r="F79" s="128">
        <f t="shared" si="2"/>
        <v>0</v>
      </c>
    </row>
    <row r="80" spans="1:6" hidden="1" x14ac:dyDescent="0.25">
      <c r="A80" s="144" t="s">
        <v>161</v>
      </c>
      <c r="B80" s="144" t="s">
        <v>160</v>
      </c>
      <c r="C80" s="126">
        <f>SUM(Конфигуратор!AK98,Конфигуратор!AN98,Конфигуратор!AQ98,Конфигуратор!AT98,Конфигуратор!AW98,Конфигуратор!AZ98)</f>
        <v>0</v>
      </c>
      <c r="D80" s="126" t="str">
        <f>VLOOKUP(B80,Прайс!A68:AC444,7,FALSE)</f>
        <v>шт</v>
      </c>
      <c r="E80" s="128">
        <f>VLOOKUP(B80,Прайс!A68:AC444,8,FALSE)</f>
        <v>4261.6000000000004</v>
      </c>
      <c r="F80" s="128">
        <f t="shared" si="2"/>
        <v>0</v>
      </c>
    </row>
    <row r="81" spans="1:6" hidden="1" x14ac:dyDescent="0.25">
      <c r="A81" s="144" t="s">
        <v>163</v>
      </c>
      <c r="B81" s="144" t="s">
        <v>162</v>
      </c>
      <c r="C81" s="126">
        <f>SUM(Конфигуратор!AK99,Конфигуратор!AN99,Конфигуратор!AQ99,Конфигуратор!AT99,Конфигуратор!AW99,Конфигуратор!AZ99)</f>
        <v>0</v>
      </c>
      <c r="D81" s="126" t="str">
        <f>VLOOKUP(B81,Прайс!A69:AC445,7,FALSE)</f>
        <v>шт</v>
      </c>
      <c r="E81" s="128">
        <f>VLOOKUP(B81,Прайс!A69:AC445,8,FALSE)</f>
        <v>6256.32</v>
      </c>
      <c r="F81" s="128">
        <f t="shared" si="2"/>
        <v>0</v>
      </c>
    </row>
    <row r="82" spans="1:6" hidden="1" x14ac:dyDescent="0.25">
      <c r="A82" s="144" t="s">
        <v>165</v>
      </c>
      <c r="B82" s="144" t="s">
        <v>164</v>
      </c>
      <c r="C82" s="126">
        <f>SUM(Конфигуратор!AK100,Конфигуратор!AN100,Конфигуратор!AQ100,Конфигуратор!AT100,Конфигуратор!AW100,Конфигуратор!AZ100)</f>
        <v>0</v>
      </c>
      <c r="D82" s="126" t="str">
        <f>VLOOKUP(B82,Прайс!A70:AC446,7,FALSE)</f>
        <v>шт</v>
      </c>
      <c r="E82" s="128">
        <f>VLOOKUP(B82,Прайс!A70:AC446,8,FALSE)</f>
        <v>8223.0400000000009</v>
      </c>
      <c r="F82" s="128">
        <f t="shared" si="2"/>
        <v>0</v>
      </c>
    </row>
    <row r="83" spans="1:6" hidden="1" x14ac:dyDescent="0.25">
      <c r="A83" s="144" t="s">
        <v>167</v>
      </c>
      <c r="B83" s="144" t="s">
        <v>166</v>
      </c>
      <c r="C83" s="126">
        <f>SUM(Конфигуратор!AK101,Конфигуратор!AN101,Конфигуратор!AQ101,Конфигуратор!AT101,Конфигуратор!AW101,Конфигуратор!AZ101)</f>
        <v>0</v>
      </c>
      <c r="D83" s="126" t="str">
        <f>VLOOKUP(B83,Прайс!A71:AC447,7,FALSE)</f>
        <v>упак.</v>
      </c>
      <c r="E83" s="128">
        <f>VLOOKUP(B83,Прайс!A71:AC447,8,FALSE)</f>
        <v>456.96</v>
      </c>
      <c r="F83" s="128">
        <f t="shared" si="2"/>
        <v>0</v>
      </c>
    </row>
    <row r="84" spans="1:6" hidden="1" x14ac:dyDescent="0.25">
      <c r="A84" s="144" t="s">
        <v>170</v>
      </c>
      <c r="B84" s="144" t="s">
        <v>169</v>
      </c>
      <c r="C84" s="126">
        <f>SUM(Конфигуратор!AK102,Конфигуратор!AN102,Конфигуратор!AQ102,Конфигуратор!AT102,Конфигуратор!AW102,Конфигуратор!AZ102)</f>
        <v>0</v>
      </c>
      <c r="D84" s="126" t="str">
        <f>VLOOKUP(B84,Прайс!A72:AC448,7,FALSE)</f>
        <v>упак.</v>
      </c>
      <c r="E84" s="128">
        <f>VLOOKUP(B84,Прайс!A72:AC448,8,FALSE)</f>
        <v>2338.56</v>
      </c>
      <c r="F84" s="128">
        <f t="shared" si="2"/>
        <v>0</v>
      </c>
    </row>
    <row r="85" spans="1:6" hidden="1" x14ac:dyDescent="0.25">
      <c r="A85" s="144" t="s">
        <v>172</v>
      </c>
      <c r="B85" s="144" t="s">
        <v>171</v>
      </c>
      <c r="C85" s="126">
        <f>SUM(Конфигуратор!AK103,Конфигуратор!AN103,Конфигуратор!AQ103,Конфигуратор!AT103,Конфигуратор!AW103,Конфигуратор!AZ103)</f>
        <v>0</v>
      </c>
      <c r="D85" s="126" t="str">
        <f>VLOOKUP(B85,Прайс!A73:AC449,7,FALSE)</f>
        <v>упак.</v>
      </c>
      <c r="E85" s="128">
        <f>VLOOKUP(B85,Прайс!A73:AC449,8,FALSE)</f>
        <v>1982.4</v>
      </c>
      <c r="F85" s="128">
        <f t="shared" si="2"/>
        <v>0</v>
      </c>
    </row>
    <row r="86" spans="1:6" hidden="1" x14ac:dyDescent="0.25">
      <c r="A86" s="144" t="s">
        <v>174</v>
      </c>
      <c r="B86" s="144" t="s">
        <v>173</v>
      </c>
      <c r="C86" s="126">
        <f>SUM(Конфигуратор!AK104,Конфигуратор!AN104,Конфигуратор!AQ104,Конфигуратор!AT104,Конфигуратор!AW104,Конфигуратор!AZ104)</f>
        <v>0</v>
      </c>
      <c r="D86" s="126" t="str">
        <f>VLOOKUP(B86,Прайс!A74:AC450,7,FALSE)</f>
        <v>упак.</v>
      </c>
      <c r="E86" s="128">
        <f>VLOOKUP(B86,Прайс!A74:AC450,8,FALSE)</f>
        <v>2736.16</v>
      </c>
      <c r="F86" s="128">
        <f t="shared" si="2"/>
        <v>0</v>
      </c>
    </row>
    <row r="87" spans="1:6" hidden="1" x14ac:dyDescent="0.25">
      <c r="A87" s="144" t="s">
        <v>176</v>
      </c>
      <c r="B87" s="144" t="s">
        <v>175</v>
      </c>
      <c r="C87" s="126">
        <f>SUM(Конфигуратор!AK105,Конфигуратор!AN105,Конфигуратор!AQ105,Конфигуратор!AT105,Конфигуратор!AW105,Конфигуратор!AZ105)</f>
        <v>0</v>
      </c>
      <c r="D87" s="126" t="str">
        <f>VLOOKUP(B87,Прайс!A75:AC451,7,FALSE)</f>
        <v>упак.</v>
      </c>
      <c r="E87" s="128">
        <f>VLOOKUP(B87,Прайс!A75:AC451,8,FALSE)</f>
        <v>422.24</v>
      </c>
      <c r="F87" s="128">
        <f t="shared" si="2"/>
        <v>0</v>
      </c>
    </row>
    <row r="88" spans="1:6" hidden="1" x14ac:dyDescent="0.25">
      <c r="A88" s="144" t="s">
        <v>178</v>
      </c>
      <c r="B88" s="144" t="s">
        <v>177</v>
      </c>
      <c r="C88" s="126">
        <f>SUM(Конфигуратор!AK106,Конфигуратор!AN106,Конфигуратор!AQ106,Конфигуратор!AT106,Конфигуратор!AW106,Конфигуратор!AZ106)</f>
        <v>0</v>
      </c>
      <c r="D88" s="126" t="str">
        <f>VLOOKUP(B88,Прайс!A76:AC452,7,FALSE)</f>
        <v>упак.</v>
      </c>
      <c r="E88" s="128">
        <f>VLOOKUP(B88,Прайс!A76:AC452,8,FALSE)</f>
        <v>1452.64</v>
      </c>
      <c r="F88" s="128">
        <f t="shared" si="2"/>
        <v>0</v>
      </c>
    </row>
    <row r="89" spans="1:6" hidden="1" x14ac:dyDescent="0.25">
      <c r="A89" s="144" t="s">
        <v>180</v>
      </c>
      <c r="B89" s="144" t="s">
        <v>179</v>
      </c>
      <c r="C89" s="126">
        <f>SUM(Конфигуратор!AK107,Конфигуратор!AN107,Конфигуратор!AQ107,Конфигуратор!AT107,Конфигуратор!AW107,Конфигуратор!AZ107)</f>
        <v>0</v>
      </c>
      <c r="D89" s="126" t="str">
        <f>VLOOKUP(B89,Прайс!A77:AC453,7,FALSE)</f>
        <v>шт</v>
      </c>
      <c r="E89" s="128">
        <f>VLOOKUP(B89,Прайс!A77:AC453,8,FALSE)</f>
        <v>556.64</v>
      </c>
      <c r="F89" s="128">
        <f t="shared" si="2"/>
        <v>0</v>
      </c>
    </row>
    <row r="90" spans="1:6" hidden="1" x14ac:dyDescent="0.25">
      <c r="A90" s="144" t="s">
        <v>182</v>
      </c>
      <c r="B90" s="144" t="s">
        <v>181</v>
      </c>
      <c r="C90" s="126">
        <f>SUM(Конфигуратор!AK108,Конфигуратор!AN108,Конфигуратор!AQ108,Конфигуратор!AT108,Конфигуратор!AW108,Конфигуратор!AZ108)</f>
        <v>0</v>
      </c>
      <c r="D90" s="126" t="str">
        <f>VLOOKUP(B90,Прайс!A78:AC454,7,FALSE)</f>
        <v>шт</v>
      </c>
      <c r="E90" s="128">
        <f>VLOOKUP(B90,Прайс!A78:AC454,8,FALSE)</f>
        <v>649.6</v>
      </c>
      <c r="F90" s="128">
        <f t="shared" si="2"/>
        <v>0</v>
      </c>
    </row>
    <row r="91" spans="1:6" hidden="1" x14ac:dyDescent="0.25">
      <c r="A91" s="144" t="s">
        <v>184</v>
      </c>
      <c r="B91" s="144" t="s">
        <v>183</v>
      </c>
      <c r="C91" s="126">
        <f>SUM(Конфигуратор!AK109,Конфигуратор!AN109,Конфигуратор!AQ109,Конфигуратор!AT109,Конфигуратор!AW109,Конфигуратор!AZ109)</f>
        <v>0</v>
      </c>
      <c r="D91" s="126" t="str">
        <f>VLOOKUP(B91,Прайс!A79:AC455,7,FALSE)</f>
        <v>шт</v>
      </c>
      <c r="E91" s="128">
        <f>VLOOKUP(B91,Прайс!A79:AC455,8,FALSE)</f>
        <v>833.28</v>
      </c>
      <c r="F91" s="128">
        <f t="shared" si="2"/>
        <v>0</v>
      </c>
    </row>
    <row r="92" spans="1:6" hidden="1" x14ac:dyDescent="0.25">
      <c r="A92" s="144" t="s">
        <v>186</v>
      </c>
      <c r="B92" s="144" t="s">
        <v>185</v>
      </c>
      <c r="C92" s="126">
        <f>SUM(Конфигуратор!AK110,Конфигуратор!AN110,Конфигуратор!AQ110,Конфигуратор!AT110,Конфигуратор!AW110,Конфигуратор!AZ110)</f>
        <v>0</v>
      </c>
      <c r="D92" s="126" t="str">
        <f>VLOOKUP(B92,Прайс!A80:AC456,7,FALSE)</f>
        <v>шт</v>
      </c>
      <c r="E92" s="128">
        <f>VLOOKUP(B92,Прайс!A80:AC456,8,FALSE)</f>
        <v>1030.4000000000001</v>
      </c>
      <c r="F92" s="128">
        <f t="shared" si="2"/>
        <v>0</v>
      </c>
    </row>
    <row r="93" spans="1:6" hidden="1" x14ac:dyDescent="0.25">
      <c r="A93" s="144" t="s">
        <v>188</v>
      </c>
      <c r="B93" s="144" t="s">
        <v>187</v>
      </c>
      <c r="C93" s="126">
        <f>SUM(Конфигуратор!AK111,Конфигуратор!AN111,Конфигуратор!AQ111,Конфигуратор!AT111,Конфигуратор!AW111,Конфигуратор!AZ111)</f>
        <v>0</v>
      </c>
      <c r="D93" s="126" t="str">
        <f>VLOOKUP(B93,Прайс!A81:AC457,7,FALSE)</f>
        <v>шт</v>
      </c>
      <c r="E93" s="128">
        <f>VLOOKUP(B93,Прайс!A81:AC457,8,FALSE)</f>
        <v>3706.08</v>
      </c>
      <c r="F93" s="128">
        <f t="shared" si="2"/>
        <v>0</v>
      </c>
    </row>
    <row r="94" spans="1:6" hidden="1" x14ac:dyDescent="0.25">
      <c r="A94" s="144" t="s">
        <v>190</v>
      </c>
      <c r="B94" s="144" t="s">
        <v>189</v>
      </c>
      <c r="C94" s="126">
        <f>SUM(Конфигуратор!AK112,Конфигуратор!AN112,Конфигуратор!AQ112,Конфигуратор!AT112,Конфигуратор!AW112,Конфигуратор!AZ112)</f>
        <v>0</v>
      </c>
      <c r="D94" s="126" t="str">
        <f>VLOOKUP(B94,Прайс!A82:AC458,7,FALSE)</f>
        <v>шт</v>
      </c>
      <c r="E94" s="128">
        <f>VLOOKUP(B94,Прайс!A82:AC458,8,FALSE)</f>
        <v>4012.96</v>
      </c>
      <c r="F94" s="128">
        <f t="shared" si="2"/>
        <v>0</v>
      </c>
    </row>
    <row r="95" spans="1:6" hidden="1" x14ac:dyDescent="0.25">
      <c r="A95" s="144" t="s">
        <v>192</v>
      </c>
      <c r="B95" s="144" t="s">
        <v>191</v>
      </c>
      <c r="C95" s="126">
        <f>SUM(Конфигуратор!AK113,Конфигуратор!AN113,Конфигуратор!AQ113,Конфигуратор!AT113,Конфигуратор!AW113,Конфигуратор!AZ113)</f>
        <v>0</v>
      </c>
      <c r="D95" s="126" t="str">
        <f>VLOOKUP(B95,Прайс!A83:AC459,7,FALSE)</f>
        <v>шт</v>
      </c>
      <c r="E95" s="128">
        <f>VLOOKUP(B95,Прайс!A83:AC459,8,FALSE)</f>
        <v>4323.2</v>
      </c>
      <c r="F95" s="128">
        <f t="shared" si="2"/>
        <v>0</v>
      </c>
    </row>
    <row r="96" spans="1:6" hidden="1" x14ac:dyDescent="0.25">
      <c r="A96" s="144" t="s">
        <v>194</v>
      </c>
      <c r="B96" s="144" t="s">
        <v>193</v>
      </c>
      <c r="C96" s="126">
        <f>SUM(Конфигуратор!AK114,Конфигуратор!AN114,Конфигуратор!AQ114,Конфигуратор!AT114,Конфигуратор!AW114,Конфигуратор!AZ114)</f>
        <v>0</v>
      </c>
      <c r="D96" s="126" t="str">
        <f>VLOOKUP(B96,Прайс!A84:AC460,7,FALSE)</f>
        <v>шт</v>
      </c>
      <c r="E96" s="128">
        <f>VLOOKUP(B96,Прайс!A84:AC460,8,FALSE)</f>
        <v>450.24</v>
      </c>
      <c r="F96" s="128">
        <f t="shared" si="2"/>
        <v>0</v>
      </c>
    </row>
    <row r="97" spans="1:6" hidden="1" x14ac:dyDescent="0.25">
      <c r="A97" s="144" t="s">
        <v>196</v>
      </c>
      <c r="B97" s="144" t="s">
        <v>195</v>
      </c>
      <c r="C97" s="126">
        <f>SUM(Конфигуратор!AK115,Конфигуратор!AN115,Конфигуратор!AQ115,Конфигуратор!AT115,Конфигуратор!AW115,Конфигуратор!AZ115)</f>
        <v>0</v>
      </c>
      <c r="D97" s="126" t="str">
        <f>VLOOKUP(B97,Прайс!A85:AC461,7,FALSE)</f>
        <v>шт</v>
      </c>
      <c r="E97" s="128">
        <f>VLOOKUP(B97,Прайс!A85:AC461,8,FALSE)</f>
        <v>358.4</v>
      </c>
      <c r="F97" s="128">
        <f t="shared" ref="F97:F128" si="3">E97*C97*(1-$B$1)</f>
        <v>0</v>
      </c>
    </row>
    <row r="98" spans="1:6" hidden="1" x14ac:dyDescent="0.25">
      <c r="A98" s="144" t="s">
        <v>198</v>
      </c>
      <c r="B98" s="144" t="s">
        <v>197</v>
      </c>
      <c r="C98" s="126">
        <f>SUM(Конфигуратор!AK116,Конфигуратор!AN116,Конфигуратор!AQ116,Конфигуратор!AT116,Конфигуратор!AW116,Конфигуратор!AZ116)</f>
        <v>0</v>
      </c>
      <c r="D98" s="126" t="str">
        <f>VLOOKUP(B98,Прайс!A86:AC462,7,FALSE)</f>
        <v>шт</v>
      </c>
      <c r="E98" s="128">
        <f>VLOOKUP(B98,Прайс!A86:AC462,8,FALSE)</f>
        <v>476</v>
      </c>
      <c r="F98" s="128">
        <f t="shared" si="3"/>
        <v>0</v>
      </c>
    </row>
    <row r="99" spans="1:6" hidden="1" x14ac:dyDescent="0.25">
      <c r="A99" s="144" t="s">
        <v>200</v>
      </c>
      <c r="B99" s="144" t="s">
        <v>199</v>
      </c>
      <c r="C99" s="126">
        <f>SUM(Конфигуратор!AK117,Конфигуратор!AN117,Конфигуратор!AQ117,Конфигуратор!AT117,Конфигуратор!AW117,Конфигуратор!AZ117)</f>
        <v>0</v>
      </c>
      <c r="D99" s="126" t="str">
        <f>VLOOKUP(B99,Прайс!A87:AC463,7,FALSE)</f>
        <v>шт</v>
      </c>
      <c r="E99" s="128">
        <f>VLOOKUP(B99,Прайс!A87:AC463,8,FALSE)</f>
        <v>589.12</v>
      </c>
      <c r="F99" s="128">
        <f t="shared" si="3"/>
        <v>0</v>
      </c>
    </row>
    <row r="100" spans="1:6" hidden="1" x14ac:dyDescent="0.25">
      <c r="A100" s="144" t="s">
        <v>202</v>
      </c>
      <c r="B100" s="144" t="s">
        <v>201</v>
      </c>
      <c r="C100" s="126">
        <f>SUM(Конфигуратор!AK118,Конфигуратор!AN118,Конфигуратор!AQ118,Конфигуратор!AT118,Конфигуратор!AW118,Конфигуратор!AZ118)</f>
        <v>0</v>
      </c>
      <c r="D100" s="126" t="str">
        <f>VLOOKUP(B100,Прайс!A88:AC464,7,FALSE)</f>
        <v>шт</v>
      </c>
      <c r="E100" s="128">
        <f>VLOOKUP(B100,Прайс!A88:AC464,8,FALSE)</f>
        <v>1668.8</v>
      </c>
      <c r="F100" s="128">
        <f t="shared" si="3"/>
        <v>0</v>
      </c>
    </row>
    <row r="101" spans="1:6" hidden="1" x14ac:dyDescent="0.25">
      <c r="A101" s="144" t="s">
        <v>204</v>
      </c>
      <c r="B101" s="144" t="s">
        <v>203</v>
      </c>
      <c r="C101" s="126">
        <f>SUM(Конфигуратор!AK119,Конфигуратор!AN119,Конфигуратор!AQ119,Конфигуратор!AT119,Конфигуратор!AW119,Конфигуратор!AZ119)</f>
        <v>0</v>
      </c>
      <c r="D101" s="126" t="str">
        <f>VLOOKUP(B101,Прайс!A89:AC465,7,FALSE)</f>
        <v>шт</v>
      </c>
      <c r="E101" s="128">
        <f>VLOOKUP(B101,Прайс!A89:AC465,8,FALSE)</f>
        <v>2134.7199999999998</v>
      </c>
      <c r="F101" s="128">
        <f t="shared" si="3"/>
        <v>0</v>
      </c>
    </row>
    <row r="102" spans="1:6" hidden="1" x14ac:dyDescent="0.25">
      <c r="A102" s="144" t="s">
        <v>206</v>
      </c>
      <c r="B102" s="144" t="s">
        <v>205</v>
      </c>
      <c r="C102" s="126">
        <f>SUM(Конфигуратор!AK120,Конфигуратор!AN120,Конфигуратор!AQ120,Конфигуратор!AT120,Конфигуратор!AW120,Конфигуратор!AZ120)</f>
        <v>0</v>
      </c>
      <c r="D102" s="126" t="str">
        <f>VLOOKUP(B102,Прайс!A90:AC466,7,FALSE)</f>
        <v>шт</v>
      </c>
      <c r="E102" s="128">
        <f>VLOOKUP(B102,Прайс!A90:AC466,8,FALSE)</f>
        <v>3060.96</v>
      </c>
      <c r="F102" s="128">
        <f t="shared" si="3"/>
        <v>0</v>
      </c>
    </row>
    <row r="103" spans="1:6" hidden="1" x14ac:dyDescent="0.25">
      <c r="A103" s="144" t="s">
        <v>208</v>
      </c>
      <c r="B103" s="144" t="s">
        <v>207</v>
      </c>
      <c r="C103" s="126">
        <f>SUM(Конфигуратор!AK121,Конфигуратор!AN121,Конфигуратор!AQ121,Конфигуратор!AT121,Конфигуратор!AW121,Конфигуратор!AZ121)</f>
        <v>0</v>
      </c>
      <c r="D103" s="126" t="str">
        <f>VLOOKUP(B103,Прайс!A91:AC467,7,FALSE)</f>
        <v>шт</v>
      </c>
      <c r="E103" s="128">
        <f>VLOOKUP(B103,Прайс!A91:AC467,8,FALSE)</f>
        <v>5409.6</v>
      </c>
      <c r="F103" s="128">
        <f t="shared" si="3"/>
        <v>0</v>
      </c>
    </row>
    <row r="104" spans="1:6" hidden="1" x14ac:dyDescent="0.25">
      <c r="A104" s="144" t="s">
        <v>210</v>
      </c>
      <c r="B104" s="144" t="s">
        <v>209</v>
      </c>
      <c r="C104" s="126">
        <f>SUM(Конфигуратор!AK122,Конфигуратор!AN122,Конфигуратор!AQ122,Конфигуратор!AT122,Конфигуратор!AW122,Конфигуратор!AZ122)</f>
        <v>0</v>
      </c>
      <c r="D104" s="126" t="str">
        <f>VLOOKUP(B104,Прайс!A92:AC468,7,FALSE)</f>
        <v>шт</v>
      </c>
      <c r="E104" s="128">
        <f>VLOOKUP(B104,Прайс!A92:AC468,8,FALSE)</f>
        <v>888.16</v>
      </c>
      <c r="F104" s="128">
        <f t="shared" si="3"/>
        <v>0</v>
      </c>
    </row>
    <row r="105" spans="1:6" hidden="1" x14ac:dyDescent="0.25">
      <c r="A105" s="144" t="s">
        <v>212</v>
      </c>
      <c r="B105" s="144" t="s">
        <v>211</v>
      </c>
      <c r="C105" s="126">
        <f>SUM(Конфигуратор!AK123,Конфигуратор!AN123,Конфигуратор!AQ123,Конфигуратор!AT123,Конфигуратор!AW123,Конфигуратор!AZ123)</f>
        <v>0</v>
      </c>
      <c r="D105" s="126" t="str">
        <f>VLOOKUP(B105,Прайс!A93:AC469,7,FALSE)</f>
        <v>шт</v>
      </c>
      <c r="E105" s="128">
        <f>VLOOKUP(B105,Прайс!A93:AC469,8,FALSE)</f>
        <v>1267.8399999999999</v>
      </c>
      <c r="F105" s="128">
        <f t="shared" si="3"/>
        <v>0</v>
      </c>
    </row>
    <row r="106" spans="1:6" hidden="1" x14ac:dyDescent="0.25">
      <c r="A106" s="144" t="s">
        <v>214</v>
      </c>
      <c r="B106" s="144" t="s">
        <v>213</v>
      </c>
      <c r="C106" s="126">
        <f>SUM(Конфигуратор!AK124,Конфигуратор!AN124,Конфигуратор!AQ124,Конфигуратор!AT124,Конфигуратор!AW124,Конфигуратор!AZ124)</f>
        <v>0</v>
      </c>
      <c r="D106" s="126" t="str">
        <f>VLOOKUP(B106,Прайс!A94:AC470,7,FALSE)</f>
        <v>шт</v>
      </c>
      <c r="E106" s="128">
        <f>VLOOKUP(B106,Прайс!A94:AC470,8,FALSE)</f>
        <v>1616.16</v>
      </c>
      <c r="F106" s="128">
        <f t="shared" si="3"/>
        <v>0</v>
      </c>
    </row>
    <row r="107" spans="1:6" hidden="1" x14ac:dyDescent="0.25">
      <c r="A107" s="144" t="s">
        <v>216</v>
      </c>
      <c r="B107" s="144" t="s">
        <v>215</v>
      </c>
      <c r="C107" s="126">
        <f>SUM(Конфигуратор!AK125,Конфигуратор!AN125,Конфигуратор!AQ125,Конфигуратор!AT125,Конфигуратор!AW125,Конфигуратор!AZ125)</f>
        <v>0</v>
      </c>
      <c r="D107" s="126" t="str">
        <f>VLOOKUP(B107,Прайс!A95:AC471,7,FALSE)</f>
        <v>упак.</v>
      </c>
      <c r="E107" s="128">
        <f>VLOOKUP(B107,Прайс!A95:AC471,8,FALSE)</f>
        <v>5449.92</v>
      </c>
      <c r="F107" s="128">
        <f t="shared" si="3"/>
        <v>0</v>
      </c>
    </row>
    <row r="108" spans="1:6" hidden="1" x14ac:dyDescent="0.25">
      <c r="A108" s="144" t="s">
        <v>219</v>
      </c>
      <c r="B108" s="144" t="s">
        <v>218</v>
      </c>
      <c r="C108" s="126">
        <f>SUM(Конфигуратор!AK126,Конфигуратор!AN126,Конфигуратор!AQ126,Конфигуратор!AT126,Конфигуратор!AW126,Конфигуратор!AZ126)</f>
        <v>0</v>
      </c>
      <c r="D108" s="126" t="str">
        <f>VLOOKUP(B108,Прайс!A96:AC472,7,FALSE)</f>
        <v>упак.</v>
      </c>
      <c r="E108" s="128">
        <f>VLOOKUP(B108,Прайс!A96:AC472,8,FALSE)</f>
        <v>7226.24</v>
      </c>
      <c r="F108" s="128">
        <f t="shared" si="3"/>
        <v>0</v>
      </c>
    </row>
    <row r="109" spans="1:6" hidden="1" x14ac:dyDescent="0.25">
      <c r="A109" s="144" t="s">
        <v>221</v>
      </c>
      <c r="B109" s="144" t="s">
        <v>220</v>
      </c>
      <c r="C109" s="126">
        <f>SUM(Конфигуратор!AK127,Конфигуратор!AN127,Конфигуратор!AQ127,Конфигуратор!AT127,Конфигуратор!AW127,Конфигуратор!AZ127)</f>
        <v>0</v>
      </c>
      <c r="D109" s="126" t="str">
        <f>VLOOKUP(B109,Прайс!A97:AC473,7,FALSE)</f>
        <v>упак.</v>
      </c>
      <c r="E109" s="128">
        <f>VLOOKUP(B109,Прайс!A97:AC473,8,FALSE)</f>
        <v>9004.7999999999993</v>
      </c>
      <c r="F109" s="128">
        <f t="shared" si="3"/>
        <v>0</v>
      </c>
    </row>
    <row r="110" spans="1:6" hidden="1" x14ac:dyDescent="0.25">
      <c r="A110" s="144" t="s">
        <v>223</v>
      </c>
      <c r="B110" s="144" t="s">
        <v>222</v>
      </c>
      <c r="C110" s="126">
        <f>SUM(Конфигуратор!AK128,Конфигуратор!AN128,Конфигуратор!AQ128,Конфигуратор!AT128,Конфигуратор!AW128,Конфигуратор!AZ128)</f>
        <v>0</v>
      </c>
      <c r="D110" s="126" t="str">
        <f>VLOOKUP(B110,Прайс!A98:AC474,7,FALSE)</f>
        <v>упак.</v>
      </c>
      <c r="E110" s="128">
        <f>VLOOKUP(B110,Прайс!A98:AC474,8,FALSE)</f>
        <v>8342.8799999999992</v>
      </c>
      <c r="F110" s="128">
        <f t="shared" si="3"/>
        <v>0</v>
      </c>
    </row>
    <row r="111" spans="1:6" hidden="1" x14ac:dyDescent="0.25">
      <c r="A111" s="144" t="s">
        <v>225</v>
      </c>
      <c r="B111" s="144" t="s">
        <v>224</v>
      </c>
      <c r="C111" s="126">
        <f>SUM(Конфигуратор!AK129,Конфигуратор!AN129,Конфигуратор!AQ129,Конфигуратор!AT129,Конфигуратор!AW129,Конфигуратор!AZ129)</f>
        <v>0</v>
      </c>
      <c r="D111" s="126" t="str">
        <f>VLOOKUP(B111,Прайс!A99:AC475,7,FALSE)</f>
        <v>упак.</v>
      </c>
      <c r="E111" s="128">
        <f>VLOOKUP(B111,Прайс!A99:AC475,8,FALSE)</f>
        <v>11818.24</v>
      </c>
      <c r="F111" s="128">
        <f t="shared" si="3"/>
        <v>0</v>
      </c>
    </row>
    <row r="112" spans="1:6" hidden="1" x14ac:dyDescent="0.25">
      <c r="A112" s="144" t="s">
        <v>227</v>
      </c>
      <c r="B112" s="144" t="s">
        <v>226</v>
      </c>
      <c r="C112" s="126">
        <f>SUM(Конфигуратор!AK130,Конфигуратор!AN130,Конфигуратор!AQ130,Конфигуратор!AT130,Конфигуратор!AW130,Конфигуратор!AZ130)</f>
        <v>0</v>
      </c>
      <c r="D112" s="126" t="str">
        <f>VLOOKUP(B112,Прайс!A100:AC476,7,FALSE)</f>
        <v>упак.</v>
      </c>
      <c r="E112" s="128">
        <f>VLOOKUP(B112,Прайс!A100:AC476,8,FALSE)</f>
        <v>15162.56</v>
      </c>
      <c r="F112" s="128">
        <f t="shared" si="3"/>
        <v>0</v>
      </c>
    </row>
    <row r="113" spans="1:6" hidden="1" x14ac:dyDescent="0.25">
      <c r="A113" s="144" t="s">
        <v>229</v>
      </c>
      <c r="B113" s="144" t="s">
        <v>228</v>
      </c>
      <c r="C113" s="126">
        <f>SUM(Конфигуратор!AK131,Конфигуратор!AN131,Конфигуратор!AQ131,Конфигуратор!AT131,Конфигуратор!AW131,Конфигуратор!AZ131)</f>
        <v>0</v>
      </c>
      <c r="D113" s="126" t="str">
        <f>VLOOKUP(B113,Прайс!A101:AC477,7,FALSE)</f>
        <v>шт</v>
      </c>
      <c r="E113" s="128">
        <f>VLOOKUP(B113,Прайс!A101:AC477,8,FALSE)</f>
        <v>8760.64</v>
      </c>
      <c r="F113" s="128">
        <f t="shared" si="3"/>
        <v>0</v>
      </c>
    </row>
    <row r="114" spans="1:6" hidden="1" x14ac:dyDescent="0.25">
      <c r="A114" s="144" t="s">
        <v>231</v>
      </c>
      <c r="B114" s="144" t="s">
        <v>230</v>
      </c>
      <c r="C114" s="126">
        <f>SUM(Конфигуратор!AK132,Конфигуратор!AN132,Конфигуратор!AQ132,Конфигуратор!AT132,Конфигуратор!AW132,Конфигуратор!AZ132)</f>
        <v>0</v>
      </c>
      <c r="D114" s="126" t="str">
        <f>VLOOKUP(B114,Прайс!A102:AC478,7,FALSE)</f>
        <v>шт</v>
      </c>
      <c r="E114" s="128">
        <f>VLOOKUP(B114,Прайс!A102:AC478,8,FALSE)</f>
        <v>12074.72</v>
      </c>
      <c r="F114" s="128">
        <f t="shared" si="3"/>
        <v>0</v>
      </c>
    </row>
    <row r="115" spans="1:6" hidden="1" x14ac:dyDescent="0.25">
      <c r="A115" s="144" t="s">
        <v>233</v>
      </c>
      <c r="B115" s="144" t="s">
        <v>232</v>
      </c>
      <c r="C115" s="126">
        <f>SUM(Конфигуратор!AK133,Конфигуратор!AN133,Конфигуратор!AQ133,Конфигуратор!AT133,Конфигуратор!AW133,Конфигуратор!AZ133)</f>
        <v>0</v>
      </c>
      <c r="D115" s="126" t="str">
        <f>VLOOKUP(B115,Прайс!A103:AC479,7,FALSE)</f>
        <v>шт</v>
      </c>
      <c r="E115" s="128">
        <f>VLOOKUP(B115,Прайс!A103:AC479,8,FALSE)</f>
        <v>15386.56</v>
      </c>
      <c r="F115" s="128">
        <f t="shared" si="3"/>
        <v>0</v>
      </c>
    </row>
    <row r="116" spans="1:6" hidden="1" x14ac:dyDescent="0.25">
      <c r="A116" s="144" t="s">
        <v>235</v>
      </c>
      <c r="B116" s="144" t="s">
        <v>234</v>
      </c>
      <c r="C116" s="126">
        <f>SUM(Конфигуратор!AK134,Конфигуратор!AN134,Конфигуратор!AQ134,Конфигуратор!AT134,Конфигуратор!AW134,Конфигуратор!AZ134)</f>
        <v>0</v>
      </c>
      <c r="D116" s="126" t="str">
        <f>VLOOKUP(B116,Прайс!A104:AC480,7,FALSE)</f>
        <v>шт</v>
      </c>
      <c r="E116" s="128">
        <f>VLOOKUP(B116,Прайс!A104:AC480,8,FALSE)</f>
        <v>9423.68</v>
      </c>
      <c r="F116" s="128">
        <f t="shared" si="3"/>
        <v>0</v>
      </c>
    </row>
    <row r="117" spans="1:6" hidden="1" x14ac:dyDescent="0.25">
      <c r="A117" s="144" t="s">
        <v>237</v>
      </c>
      <c r="B117" s="144" t="s">
        <v>236</v>
      </c>
      <c r="C117" s="126">
        <f>SUM(Конфигуратор!AK135,Конфигуратор!AN135,Конфигуратор!AQ135,Конфигуратор!AT135,Конфигуратор!AW135,Конфигуратор!AZ135)</f>
        <v>0</v>
      </c>
      <c r="D117" s="126" t="str">
        <f>VLOOKUP(B117,Прайс!A105:AC481,7,FALSE)</f>
        <v>шт</v>
      </c>
      <c r="E117" s="128">
        <f>VLOOKUP(B117,Прайс!A105:AC481,8,FALSE)</f>
        <v>13112.96</v>
      </c>
      <c r="F117" s="128">
        <f t="shared" si="3"/>
        <v>0</v>
      </c>
    </row>
    <row r="118" spans="1:6" hidden="1" x14ac:dyDescent="0.25">
      <c r="A118" s="144" t="s">
        <v>239</v>
      </c>
      <c r="B118" s="144" t="s">
        <v>238</v>
      </c>
      <c r="C118" s="126">
        <f>SUM(Конфигуратор!AK136,Конфигуратор!AN136,Конфигуратор!AQ136,Конфигуратор!AT136,Конфигуратор!AW136,Конфигуратор!AZ136)</f>
        <v>0</v>
      </c>
      <c r="D118" s="126" t="str">
        <f>VLOOKUP(B118,Прайс!A106:AC482,7,FALSE)</f>
        <v>шт</v>
      </c>
      <c r="E118" s="128">
        <f>VLOOKUP(B118,Прайс!A106:AC482,8,FALSE)</f>
        <v>16814.560000000001</v>
      </c>
      <c r="F118" s="128">
        <f t="shared" si="3"/>
        <v>0</v>
      </c>
    </row>
    <row r="119" spans="1:6" hidden="1" x14ac:dyDescent="0.25">
      <c r="A119" s="144" t="s">
        <v>241</v>
      </c>
      <c r="B119" s="144" t="s">
        <v>240</v>
      </c>
      <c r="C119" s="126">
        <f>SUM(Конфигуратор!AK137,Конфигуратор!AN137,Конфигуратор!AQ137,Конфигуратор!AT137,Конфигуратор!AW137,Конфигуратор!AZ137)</f>
        <v>0</v>
      </c>
      <c r="D119" s="126" t="str">
        <f>VLOOKUP(B119,Прайс!A107:AC483,7,FALSE)</f>
        <v>шт</v>
      </c>
      <c r="E119" s="128">
        <f>VLOOKUP(B119,Прайс!A107:AC483,8,FALSE)</f>
        <v>10046.4</v>
      </c>
      <c r="F119" s="128">
        <f t="shared" si="3"/>
        <v>0</v>
      </c>
    </row>
    <row r="120" spans="1:6" hidden="1" x14ac:dyDescent="0.25">
      <c r="A120" s="144" t="s">
        <v>243</v>
      </c>
      <c r="B120" s="144" t="s">
        <v>242</v>
      </c>
      <c r="C120" s="126">
        <f>SUM(Конфигуратор!AK138,Конфигуратор!AN138,Конфигуратор!AQ138,Конфигуратор!AT138,Конфигуратор!AW138,Конфигуратор!AZ138)</f>
        <v>0</v>
      </c>
      <c r="D120" s="126" t="str">
        <f>VLOOKUP(B120,Прайс!A108:AC484,7,FALSE)</f>
        <v>шт</v>
      </c>
      <c r="E120" s="128">
        <f>VLOOKUP(B120,Прайс!A108:AC484,8,FALSE)</f>
        <v>14140</v>
      </c>
      <c r="F120" s="128">
        <f t="shared" si="3"/>
        <v>0</v>
      </c>
    </row>
    <row r="121" spans="1:6" hidden="1" x14ac:dyDescent="0.25">
      <c r="A121" s="144" t="s">
        <v>245</v>
      </c>
      <c r="B121" s="144" t="s">
        <v>244</v>
      </c>
      <c r="C121" s="126">
        <f>SUM(Конфигуратор!AK139,Конфигуратор!AN139,Конфигуратор!AQ139,Конфигуратор!AT139,Конфигуратор!AW139,Конфигуратор!AZ139)</f>
        <v>0</v>
      </c>
      <c r="D121" s="126" t="str">
        <f>VLOOKUP(B121,Прайс!A109:AC485,7,FALSE)</f>
        <v>шт</v>
      </c>
      <c r="E121" s="128">
        <f>VLOOKUP(B121,Прайс!A109:AC485,8,FALSE)</f>
        <v>18239.2</v>
      </c>
      <c r="F121" s="128">
        <f t="shared" si="3"/>
        <v>0</v>
      </c>
    </row>
    <row r="122" spans="1:6" hidden="1" x14ac:dyDescent="0.25">
      <c r="A122" s="144" t="s">
        <v>247</v>
      </c>
      <c r="B122" s="144" t="s">
        <v>246</v>
      </c>
      <c r="C122" s="126">
        <f>SUM(Конфигуратор!AK140,Конфигуратор!AN140,Конфигуратор!AQ140,Конфигуратор!AT140,Конфигуратор!AW140,Конфигуратор!AZ140)</f>
        <v>0</v>
      </c>
      <c r="D122" s="126" t="str">
        <f>VLOOKUP(B122,Прайс!A110:AC486,7,FALSE)</f>
        <v>шт</v>
      </c>
      <c r="E122" s="128">
        <f>VLOOKUP(B122,Прайс!A110:AC486,8,FALSE)</f>
        <v>2054.08</v>
      </c>
      <c r="F122" s="128">
        <f t="shared" si="3"/>
        <v>0</v>
      </c>
    </row>
    <row r="123" spans="1:6" hidden="1" x14ac:dyDescent="0.25">
      <c r="A123" s="144" t="s">
        <v>249</v>
      </c>
      <c r="B123" s="144" t="s">
        <v>248</v>
      </c>
      <c r="C123" s="126">
        <f>SUM(Конфигуратор!AK141,Конфигуратор!AN141,Конфигуратор!AQ141,Конфигуратор!AT141,Конфигуратор!AW141,Конфигуратор!AZ141)</f>
        <v>0</v>
      </c>
      <c r="D123" s="126" t="str">
        <f>VLOOKUP(B123,Прайс!A111:AC487,7,FALSE)</f>
        <v>шт</v>
      </c>
      <c r="E123" s="128">
        <f>VLOOKUP(B123,Прайс!A111:AC487,8,FALSE)</f>
        <v>2691.36</v>
      </c>
      <c r="F123" s="128">
        <f t="shared" si="3"/>
        <v>0</v>
      </c>
    </row>
    <row r="124" spans="1:6" hidden="1" x14ac:dyDescent="0.25">
      <c r="A124" s="144" t="s">
        <v>251</v>
      </c>
      <c r="B124" s="144" t="s">
        <v>250</v>
      </c>
      <c r="C124" s="126">
        <f>SUM(Конфигуратор!AK142,Конфигуратор!AN142,Конфигуратор!AQ142,Конфигуратор!AT142,Конфигуратор!AW142,Конфигуратор!AZ142)</f>
        <v>0</v>
      </c>
      <c r="D124" s="126" t="str">
        <f>VLOOKUP(B124,Прайс!A112:AC488,7,FALSE)</f>
        <v>шт</v>
      </c>
      <c r="E124" s="128">
        <f>VLOOKUP(B124,Прайс!A112:AC488,8,FALSE)</f>
        <v>3289.44</v>
      </c>
      <c r="F124" s="128">
        <f t="shared" si="3"/>
        <v>0</v>
      </c>
    </row>
    <row r="125" spans="1:6" hidden="1" x14ac:dyDescent="0.25">
      <c r="A125" s="144" t="s">
        <v>253</v>
      </c>
      <c r="B125" s="144" t="s">
        <v>252</v>
      </c>
      <c r="C125" s="126">
        <f>SUM(Конфигуратор!AK143,Конфигуратор!AN143,Конфигуратор!AQ143,Конфигуратор!AT143,Конфигуратор!AW143,Конфигуратор!AZ143)</f>
        <v>0</v>
      </c>
      <c r="D125" s="126" t="str">
        <f>VLOOKUP(B125,Прайс!A113:AC489,7,FALSE)</f>
        <v>шт</v>
      </c>
      <c r="E125" s="128">
        <f>VLOOKUP(B125,Прайс!A113:AC489,8,FALSE)</f>
        <v>2578.2399999999998</v>
      </c>
      <c r="F125" s="128">
        <f t="shared" si="3"/>
        <v>0</v>
      </c>
    </row>
    <row r="126" spans="1:6" hidden="1" x14ac:dyDescent="0.25">
      <c r="A126" s="144" t="s">
        <v>255</v>
      </c>
      <c r="B126" s="144" t="s">
        <v>254</v>
      </c>
      <c r="C126" s="126">
        <f>SUM(Конфигуратор!AK144,Конфигуратор!AN144,Конфигуратор!AQ144,Конфигуратор!AT144,Конфигуратор!AW144,Конфигуратор!AZ144)</f>
        <v>0</v>
      </c>
      <c r="D126" s="126" t="str">
        <f>VLOOKUP(B126,Прайс!A114:AC490,7,FALSE)</f>
        <v>шт</v>
      </c>
      <c r="E126" s="128">
        <f>VLOOKUP(B126,Прайс!A114:AC490,8,FALSE)</f>
        <v>3587.36</v>
      </c>
      <c r="F126" s="128">
        <f t="shared" si="3"/>
        <v>0</v>
      </c>
    </row>
    <row r="127" spans="1:6" hidden="1" x14ac:dyDescent="0.25">
      <c r="A127" s="144" t="s">
        <v>257</v>
      </c>
      <c r="B127" s="144" t="s">
        <v>256</v>
      </c>
      <c r="C127" s="126">
        <f>SUM(Конфигуратор!AK145,Конфигуратор!AN145,Конфигуратор!AQ145,Конфигуратор!AT145,Конфигуратор!AW145,Конфигуратор!AZ145)</f>
        <v>0</v>
      </c>
      <c r="D127" s="126" t="str">
        <f>VLOOKUP(B127,Прайс!A115:AC491,7,FALSE)</f>
        <v>шт</v>
      </c>
      <c r="E127" s="128">
        <f>VLOOKUP(B127,Прайс!A115:AC491,8,FALSE)</f>
        <v>4595.3599999999997</v>
      </c>
      <c r="F127" s="128">
        <f t="shared" si="3"/>
        <v>0</v>
      </c>
    </row>
    <row r="128" spans="1:6" hidden="1" x14ac:dyDescent="0.25">
      <c r="A128" s="144" t="s">
        <v>259</v>
      </c>
      <c r="B128" s="144" t="s">
        <v>258</v>
      </c>
      <c r="C128" s="126">
        <f>SUM(Конфигуратор!AK146,Конфигуратор!AN146,Конфигуратор!AQ146,Конфигуратор!AT146,Конфигуратор!AW146,Конфигуратор!AZ146)</f>
        <v>0</v>
      </c>
      <c r="D128" s="126" t="str">
        <f>VLOOKUP(B128,Прайс!A116:AC492,7,FALSE)</f>
        <v>шт</v>
      </c>
      <c r="E128" s="128">
        <f>VLOOKUP(B128,Прайс!A116:AC492,8,FALSE)</f>
        <v>3140.48</v>
      </c>
      <c r="F128" s="128">
        <f t="shared" si="3"/>
        <v>0</v>
      </c>
    </row>
    <row r="129" spans="1:11" hidden="1" x14ac:dyDescent="0.25">
      <c r="A129" s="144" t="s">
        <v>261</v>
      </c>
      <c r="B129" s="144" t="s">
        <v>260</v>
      </c>
      <c r="C129" s="126">
        <f>H129</f>
        <v>0</v>
      </c>
      <c r="D129" s="126" t="str">
        <f>VLOOKUP(B129,Прайс!A117:AC493,7,FALSE)</f>
        <v>шт</v>
      </c>
      <c r="E129" s="128">
        <f>VLOOKUP(B129,Прайс!A117:AC493,8,FALSE)</f>
        <v>4520.32</v>
      </c>
      <c r="F129" s="128">
        <f t="shared" ref="F129:F142" si="4">E129*C129*(1-$B$1)</f>
        <v>0</v>
      </c>
    </row>
    <row r="130" spans="1:11" hidden="1" x14ac:dyDescent="0.25">
      <c r="A130" s="144" t="s">
        <v>263</v>
      </c>
      <c r="B130" s="144" t="s">
        <v>262</v>
      </c>
      <c r="C130" s="132">
        <f t="shared" ref="C130" si="5">H130</f>
        <v>0</v>
      </c>
      <c r="D130" s="132" t="str">
        <f>VLOOKUP(B130,Прайс!A118:AC494,7,FALSE)</f>
        <v>шт</v>
      </c>
      <c r="E130" s="128">
        <f>VLOOKUP(B130,Прайс!A118:AC494,8,FALSE)</f>
        <v>5902.4</v>
      </c>
      <c r="F130" s="128">
        <f t="shared" si="4"/>
        <v>0</v>
      </c>
    </row>
    <row r="131" spans="1:11" hidden="1" x14ac:dyDescent="0.25">
      <c r="A131" s="144" t="s">
        <v>265</v>
      </c>
      <c r="B131" s="145" t="s">
        <v>264</v>
      </c>
      <c r="C131" s="126"/>
      <c r="D131" s="253"/>
      <c r="E131" s="136">
        <f>VLOOKUP(B131,Прайс!A119:AC495,8,FALSE)</f>
        <v>5442.08</v>
      </c>
      <c r="F131" s="128">
        <f t="shared" si="4"/>
        <v>0</v>
      </c>
      <c r="I131" s="119">
        <f>SUM(Конфигуратор!AK149,Конфигуратор!AN149,Конфигуратор!AQ149,Конфигуратор!AT149,Конфигуратор!AW149,Конфигуратор!AZ149)</f>
        <v>0</v>
      </c>
      <c r="K131" s="119" t="str">
        <f>VLOOKUP(B131,Прайс!A119:AC495,7,FALSE)</f>
        <v>упак.</v>
      </c>
    </row>
    <row r="132" spans="1:11" hidden="1" x14ac:dyDescent="0.25">
      <c r="A132" s="144" t="s">
        <v>267</v>
      </c>
      <c r="B132" s="145" t="s">
        <v>266</v>
      </c>
      <c r="C132" s="126"/>
      <c r="D132" s="253"/>
      <c r="E132" s="136">
        <f>VLOOKUP(B132,Прайс!A120:AC496,8,FALSE)</f>
        <v>5894.56</v>
      </c>
      <c r="F132" s="128">
        <f t="shared" si="4"/>
        <v>0</v>
      </c>
      <c r="I132" s="119">
        <f>SUM(Конфигуратор!AK150,Конфигуратор!AN150,Конфигуратор!AQ150,Конфигуратор!AT150,Конфигуратор!AW150,Конфигуратор!AZ150)</f>
        <v>0</v>
      </c>
      <c r="K132" s="119" t="str">
        <f>VLOOKUP(B132,Прайс!A120:AC496,7,FALSE)</f>
        <v>упак.</v>
      </c>
    </row>
    <row r="133" spans="1:11" hidden="1" x14ac:dyDescent="0.25">
      <c r="A133" s="144" t="s">
        <v>269</v>
      </c>
      <c r="B133" s="145" t="s">
        <v>268</v>
      </c>
      <c r="C133" s="126"/>
      <c r="D133" s="253"/>
      <c r="E133" s="136">
        <f>VLOOKUP(B133,Прайс!A121:AC497,8,FALSE)</f>
        <v>6345.92</v>
      </c>
      <c r="F133" s="128">
        <f t="shared" si="4"/>
        <v>0</v>
      </c>
      <c r="I133" s="119">
        <f>SUM(Конфигуратор!AK151,Конфигуратор!AN151,Конфигуратор!AQ151,Конфигуратор!AT151,Конфигуратор!AW151,Конфигуратор!AZ151)</f>
        <v>0</v>
      </c>
      <c r="K133" s="119" t="str">
        <f>VLOOKUP(B133,Прайс!A121:AC497,7,FALSE)</f>
        <v>упак.</v>
      </c>
    </row>
    <row r="134" spans="1:11" hidden="1" x14ac:dyDescent="0.25">
      <c r="A134" s="144" t="s">
        <v>271</v>
      </c>
      <c r="B134" s="145" t="s">
        <v>270</v>
      </c>
      <c r="C134" s="126"/>
      <c r="D134" s="253"/>
      <c r="E134" s="136">
        <f>VLOOKUP(B134,Прайс!A122:AC498,8,FALSE)</f>
        <v>6014.4</v>
      </c>
      <c r="F134" s="128">
        <f t="shared" si="4"/>
        <v>0</v>
      </c>
      <c r="I134" s="119">
        <f>SUM(Конфигуратор!AK152,Конфигуратор!AN152,Конфигуратор!AQ152,Конфигуратор!AT152,Конфигуратор!AW152,Конфигуратор!AZ152)</f>
        <v>0</v>
      </c>
      <c r="K134" s="119" t="str">
        <f>VLOOKUP(B134,Прайс!A122:AC498,7,FALSE)</f>
        <v>упак.</v>
      </c>
    </row>
    <row r="135" spans="1:11" hidden="1" x14ac:dyDescent="0.25">
      <c r="A135" s="144" t="s">
        <v>273</v>
      </c>
      <c r="B135" s="145" t="s">
        <v>272</v>
      </c>
      <c r="C135" s="126"/>
      <c r="D135" s="253"/>
      <c r="E135" s="136">
        <f>VLOOKUP(B135,Прайс!A123:AC499,8,FALSE)</f>
        <v>6649.44</v>
      </c>
      <c r="F135" s="128">
        <f t="shared" si="4"/>
        <v>0</v>
      </c>
      <c r="I135" s="119">
        <f>SUM(Конфигуратор!AK153,Конфигуратор!AN153,Конфигуратор!AQ153,Конфигуратор!AT153,Конфигуратор!AW153,Конфигуратор!AZ153)</f>
        <v>0</v>
      </c>
      <c r="K135" s="119" t="str">
        <f>VLOOKUP(B135,Прайс!A123:AC499,7,FALSE)</f>
        <v>упак.</v>
      </c>
    </row>
    <row r="136" spans="1:11" hidden="1" x14ac:dyDescent="0.25">
      <c r="A136" s="144" t="s">
        <v>275</v>
      </c>
      <c r="B136" s="145" t="s">
        <v>274</v>
      </c>
      <c r="C136" s="126"/>
      <c r="D136" s="253"/>
      <c r="E136" s="136">
        <f>VLOOKUP(B136,Прайс!A124:AC500,8,FALSE)</f>
        <v>7284.48</v>
      </c>
      <c r="F136" s="128">
        <f t="shared" si="4"/>
        <v>0</v>
      </c>
      <c r="I136" s="119">
        <f>SUM(Конфигуратор!AK154,Конфигуратор!AN154,Конфигуратор!AQ154,Конфигуратор!AT154,Конфигуратор!AW154,Конфигуратор!AZ154)</f>
        <v>0</v>
      </c>
      <c r="K136" s="119" t="str">
        <f>VLOOKUP(B136,Прайс!A124:AC500,7,FALSE)</f>
        <v>упак.</v>
      </c>
    </row>
    <row r="137" spans="1:11" hidden="1" x14ac:dyDescent="0.25">
      <c r="A137" s="144" t="s">
        <v>277</v>
      </c>
      <c r="B137" s="145" t="s">
        <v>276</v>
      </c>
      <c r="C137" s="126"/>
      <c r="D137" s="253"/>
      <c r="E137" s="136">
        <f>VLOOKUP(B137,Прайс!A125:AC501,8,FALSE)</f>
        <v>7936.32</v>
      </c>
      <c r="F137" s="128">
        <f t="shared" si="4"/>
        <v>0</v>
      </c>
      <c r="I137" s="119">
        <f>SUM(Конфигуратор!AK155,Конфигуратор!AN155,Конфигуратор!AQ155,Конфигуратор!AT155,Конфигуратор!AW155,Конфигуратор!AZ155)</f>
        <v>0</v>
      </c>
      <c r="K137" s="119" t="str">
        <f>VLOOKUP(B137,Прайс!A125:AC501,7,FALSE)</f>
        <v>упак.</v>
      </c>
    </row>
    <row r="138" spans="1:11" hidden="1" x14ac:dyDescent="0.25">
      <c r="A138" s="144" t="s">
        <v>279</v>
      </c>
      <c r="B138" s="145" t="s">
        <v>278</v>
      </c>
      <c r="C138" s="126"/>
      <c r="D138" s="253"/>
      <c r="E138" s="136">
        <f>VLOOKUP(B138,Прайс!A126:AC502,8,FALSE)</f>
        <v>8980.16</v>
      </c>
      <c r="F138" s="128">
        <f t="shared" si="4"/>
        <v>0</v>
      </c>
      <c r="I138" s="119">
        <f>SUM(Конфигуратор!AK156,Конфигуратор!AN156,Конфигуратор!AQ156,Конфигуратор!AT156,Конфигуратор!AW156,Конфигуратор!AZ156)</f>
        <v>0</v>
      </c>
      <c r="K138" s="119" t="str">
        <f>VLOOKUP(B138,Прайс!A126:AC502,7,FALSE)</f>
        <v>упак.</v>
      </c>
    </row>
    <row r="139" spans="1:11" hidden="1" x14ac:dyDescent="0.25">
      <c r="A139" s="144" t="s">
        <v>281</v>
      </c>
      <c r="B139" s="145" t="s">
        <v>280</v>
      </c>
      <c r="C139" s="126"/>
      <c r="D139" s="253"/>
      <c r="E139" s="136">
        <f>VLOOKUP(B139,Прайс!A127:AC503,8,FALSE)</f>
        <v>10018.4</v>
      </c>
      <c r="F139" s="128">
        <f t="shared" si="4"/>
        <v>0</v>
      </c>
      <c r="I139" s="119">
        <f>SUM(Конфигуратор!AK157,Конфигуратор!AN157,Конфигуратор!AQ157,Конфигуратор!AT157,Конфигуратор!AW157,Конфигуратор!AZ157)</f>
        <v>0</v>
      </c>
      <c r="K139" s="119" t="str">
        <f>VLOOKUP(B139,Прайс!A127:AC503,7,FALSE)</f>
        <v>упак.</v>
      </c>
    </row>
    <row r="140" spans="1:11" hidden="1" x14ac:dyDescent="0.25">
      <c r="A140" s="144" t="s">
        <v>283</v>
      </c>
      <c r="B140" s="145" t="s">
        <v>282</v>
      </c>
      <c r="C140" s="126"/>
      <c r="D140" s="253"/>
      <c r="E140" s="136">
        <f>VLOOKUP(B140,Прайс!A128:AC504,8,FALSE)</f>
        <v>9596.16</v>
      </c>
      <c r="F140" s="128">
        <f t="shared" si="4"/>
        <v>0</v>
      </c>
      <c r="I140" s="119">
        <f>SUM(Конфигуратор!AK158,Конфигуратор!AN158,Конфигуратор!AQ158,Конфигуратор!AT158,Конфигуратор!AW158,Конфигуратор!AZ158)</f>
        <v>0</v>
      </c>
      <c r="K140" s="119" t="str">
        <f>VLOOKUP(B140,Прайс!A128:AC504,7,FALSE)</f>
        <v>упак.</v>
      </c>
    </row>
    <row r="141" spans="1:11" hidden="1" x14ac:dyDescent="0.25">
      <c r="A141" s="144" t="s">
        <v>285</v>
      </c>
      <c r="B141" s="145" t="s">
        <v>284</v>
      </c>
      <c r="C141" s="126"/>
      <c r="D141" s="253"/>
      <c r="E141" s="136">
        <f>VLOOKUP(B141,Прайс!A129:AC505,8,FALSE)</f>
        <v>11032</v>
      </c>
      <c r="F141" s="128">
        <f t="shared" si="4"/>
        <v>0</v>
      </c>
      <c r="I141" s="119">
        <f>SUM(Конфигуратор!AK159,Конфигуратор!AN159,Конфигуратор!AQ159,Конфигуратор!AT159,Конфигуратор!AW159,Конфигуратор!AZ159)</f>
        <v>0</v>
      </c>
      <c r="K141" s="119" t="str">
        <f>VLOOKUP(B141,Прайс!A129:AC505,7,FALSE)</f>
        <v>упак.</v>
      </c>
    </row>
    <row r="142" spans="1:11" hidden="1" x14ac:dyDescent="0.25">
      <c r="A142" s="144" t="s">
        <v>287</v>
      </c>
      <c r="B142" s="145" t="s">
        <v>286</v>
      </c>
      <c r="C142" s="126"/>
      <c r="D142" s="253"/>
      <c r="E142" s="136">
        <f>VLOOKUP(B142,Прайс!A130:AC506,8,FALSE)</f>
        <v>12465.6</v>
      </c>
      <c r="F142" s="128">
        <f t="shared" si="4"/>
        <v>0</v>
      </c>
      <c r="I142" s="119">
        <f>SUM(Конфигуратор!AK160,Конфигуратор!AN160,Конфигуратор!AQ160,Конфигуратор!AT160,Конфигуратор!AW160,Конфигуратор!AZ160)</f>
        <v>0</v>
      </c>
      <c r="K142" s="119" t="str">
        <f>VLOOKUP(B142,Прайс!A130:AC506,7,FALSE)</f>
        <v>упак.</v>
      </c>
    </row>
    <row r="143" spans="1:11" ht="25.5" hidden="1" x14ac:dyDescent="0.25">
      <c r="A143" s="144" t="s">
        <v>289</v>
      </c>
      <c r="B143" s="144" t="s">
        <v>288</v>
      </c>
      <c r="C143" s="272">
        <f>IF(Конфигуратор!$E$9=Конфигуратор!$D$188,Конфигуратор!$BC$161,IF(Конфигуратор!$E$9=Конфигуратор!$D$189,Конфигуратор!$BD$161,0))</f>
        <v>0</v>
      </c>
      <c r="D143" s="129" t="str">
        <f>VLOOKUP(Спецификация!B143,Прайс!A131:AC507,7,FALSE)</f>
        <v>упак.</v>
      </c>
      <c r="E143" s="128">
        <f>VLOOKUP(Спецификация!B143,Прайс!A131:AC507,8,FALSE)</f>
        <v>1400</v>
      </c>
      <c r="F143" s="128">
        <f>E143*Конфигуратор!BC161*(1-$B$1)</f>
        <v>0</v>
      </c>
    </row>
    <row r="144" spans="1:11" ht="25.5" hidden="1" x14ac:dyDescent="0.25">
      <c r="A144" s="144" t="s">
        <v>292</v>
      </c>
      <c r="B144" s="144" t="s">
        <v>291</v>
      </c>
      <c r="C144" s="255">
        <f>IF(Конфигуратор!$E$9=Конфигуратор!$D$188,Конфигуратор!$BC$162,IF(Конфигуратор!$E$9=Конфигуратор!$D$189,Конфигуратор!$BD$162,0))</f>
        <v>0</v>
      </c>
      <c r="D144" s="126" t="str">
        <f>VLOOKUP(Спецификация!B144,Прайс!A132:AC508,7,FALSE)</f>
        <v>упак.</v>
      </c>
      <c r="E144" s="128">
        <f>VLOOKUP(Спецификация!B144,Прайс!A132:AC508,8,FALSE)</f>
        <v>2577.79</v>
      </c>
      <c r="F144" s="128">
        <f>E144*Конфигуратор!BC162*(1-$B$1)</f>
        <v>0</v>
      </c>
    </row>
    <row r="145" spans="1:6" s="270" customFormat="1" ht="25.5" hidden="1" x14ac:dyDescent="0.25">
      <c r="A145" s="266" t="s">
        <v>294</v>
      </c>
      <c r="B145" s="266" t="s">
        <v>293</v>
      </c>
      <c r="C145" s="267">
        <f>IF(Конфигуратор!$E$9=Конфигуратор!$D$188,Конфигуратор!$BC$163,IF(Конфигуратор!$E$9=Конфигуратор!$D$189,Конфигуратор!$BD$163,0))</f>
        <v>0</v>
      </c>
      <c r="D145" s="268" t="str">
        <f>VLOOKUP(Спецификация!B145,Прайс!A133:AC509,7,FALSE)</f>
        <v>упак.</v>
      </c>
      <c r="E145" s="269">
        <f>VLOOKUP(Спецификация!B145,Прайс!A133:AC509,8,FALSE)</f>
        <v>3499.78</v>
      </c>
      <c r="F145" s="269">
        <f>E145*Конфигуратор!BC163*(1-$B$1)</f>
        <v>0</v>
      </c>
    </row>
    <row r="146" spans="1:6" ht="25.5" hidden="1" x14ac:dyDescent="0.25">
      <c r="A146" s="144" t="s">
        <v>296</v>
      </c>
      <c r="B146" s="144" t="s">
        <v>295</v>
      </c>
      <c r="C146" s="255">
        <f>IF(Конфигуратор!$E$9=Конфигуратор!$D$188,Конфигуратор!$BC$164,IF(Конфигуратор!$E$9=Конфигуратор!$D$189,Конфигуратор!$BD$164,0))</f>
        <v>0</v>
      </c>
      <c r="D146" s="126" t="str">
        <f>VLOOKUP(Спецификация!B146,Прайс!A134:AC510,7,FALSE)</f>
        <v>упак.</v>
      </c>
      <c r="E146" s="128">
        <f>VLOOKUP(Спецификация!B146,Прайс!A134:AC510,8,FALSE)</f>
        <v>4422.21</v>
      </c>
      <c r="F146" s="128">
        <f>E146*Конфигуратор!BC164*(1-$B$1)</f>
        <v>0</v>
      </c>
    </row>
    <row r="147" spans="1:6" hidden="1" x14ac:dyDescent="0.25">
      <c r="A147" s="144" t="s">
        <v>298</v>
      </c>
      <c r="B147" s="144" t="s">
        <v>297</v>
      </c>
      <c r="C147" s="126">
        <f>SUM(Конфигуратор!AK165,Конфигуратор!AN165,Конфигуратор!AQ165,Конфигуратор!AT165,Конфигуратор!AW165,Конфигуратор!AZ165)</f>
        <v>0</v>
      </c>
      <c r="D147" s="126" t="str">
        <f>VLOOKUP(B147,Прайс!A135:AC511,7,FALSE)</f>
        <v>упак.</v>
      </c>
      <c r="E147" s="128">
        <f>VLOOKUP(B147,Прайс!A135:AC511,8,FALSE)</f>
        <v>4898.43</v>
      </c>
      <c r="F147" s="128">
        <f t="shared" ref="F147:F152" si="6">E147*C147*(1-$B$1)</f>
        <v>0</v>
      </c>
    </row>
    <row r="148" spans="1:6" hidden="1" x14ac:dyDescent="0.25">
      <c r="A148" s="144" t="s">
        <v>852</v>
      </c>
      <c r="B148" s="144" t="s">
        <v>853</v>
      </c>
      <c r="C148" s="126">
        <f>SUM(Конфигуратор!AK166,Конфигуратор!AN166,Конфигуратор!AQ166,Конфигуратор!AT166,Конфигуратор!AW166,Конфигуратор!AZ166)</f>
        <v>0</v>
      </c>
      <c r="D148" s="126" t="str">
        <f>VLOOKUP(B148,Прайс!A136:AC512,7,FALSE)</f>
        <v>упак.</v>
      </c>
      <c r="E148" s="128">
        <f>VLOOKUP(B148,Прайс!A136:AC512,8,FALSE)</f>
        <v>5076</v>
      </c>
      <c r="F148" s="128">
        <f t="shared" si="6"/>
        <v>0</v>
      </c>
    </row>
    <row r="149" spans="1:6" hidden="1" x14ac:dyDescent="0.25">
      <c r="A149" s="146" t="s">
        <v>855</v>
      </c>
      <c r="B149" s="144" t="s">
        <v>854</v>
      </c>
      <c r="C149" s="126">
        <f>SUM(Конфигуратор!AK168,Конфигуратор!AN168,Конфигуратор!AQ168,Конфигуратор!AT168,Конфигуратор!AW168,Конфигуратор!AZ168)</f>
        <v>0</v>
      </c>
      <c r="D149" s="126" t="str">
        <f>VLOOKUP(B149,Прайс!A137:AC513,7,FALSE)</f>
        <v>упак.</v>
      </c>
      <c r="E149" s="128">
        <f>VLOOKUP(B149,Прайс!A137:AC513,8,FALSE)</f>
        <v>3749</v>
      </c>
      <c r="F149" s="128">
        <f t="shared" si="6"/>
        <v>0</v>
      </c>
    </row>
    <row r="150" spans="1:6" hidden="1" x14ac:dyDescent="0.25">
      <c r="A150" s="146" t="s">
        <v>916</v>
      </c>
      <c r="B150" s="144" t="s">
        <v>914</v>
      </c>
      <c r="C150" s="126">
        <f>SUM(Конфигуратор!AK169,Конфигуратор!AN169,Конфигуратор!AQ169,Конфигуратор!AT169,Конфигуратор!AW169,Конфигуратор!AZ169)</f>
        <v>0</v>
      </c>
      <c r="D150" s="126" t="str">
        <f>VLOOKUP(B150,Прайс!A138:AC514,7,FALSE)</f>
        <v>упак.</v>
      </c>
      <c r="E150" s="128">
        <f>VLOOKUP(B150,Прайс!A138:AC514,8,FALSE)</f>
        <v>4897</v>
      </c>
      <c r="F150" s="128">
        <f t="shared" si="6"/>
        <v>0</v>
      </c>
    </row>
    <row r="151" spans="1:6" hidden="1" x14ac:dyDescent="0.25">
      <c r="A151" s="147" t="s">
        <v>917</v>
      </c>
      <c r="B151" s="144" t="s">
        <v>915</v>
      </c>
      <c r="C151" s="126">
        <f>SUM(Конфигуратор!AK170,Конфигуратор!AN170,Конфигуратор!AQ170,Конфигуратор!AT170,Конфигуратор!AW170,Конфигуратор!AZ170)</f>
        <v>0</v>
      </c>
      <c r="D151" s="126" t="str">
        <f>VLOOKUP(B151,Прайс!A139:AC515,7,FALSE)</f>
        <v>упак.</v>
      </c>
      <c r="E151" s="133">
        <f>VLOOKUP(B151,Прайс!A139:AC515,8,FALSE)</f>
        <v>6149</v>
      </c>
      <c r="F151" s="133">
        <f t="shared" si="6"/>
        <v>0</v>
      </c>
    </row>
    <row r="152" spans="1:6" ht="17.25" hidden="1" thickBot="1" x14ac:dyDescent="0.35">
      <c r="A152" s="243" t="s">
        <v>1006</v>
      </c>
      <c r="B152" s="252" t="s">
        <v>1005</v>
      </c>
      <c r="C152" s="132">
        <f>IF(SUM(Конфигуратор!$L$20,Конфигуратор!$P$20,Конфигуратор!$T$20,Конфигуратор!$X$20,Конфигуратор!$AB$20)&lt;&gt;0,SUM(Конфигуратор!$H$20,Конфигуратор!$L$20,Конфигуратор!$P$20,Конфигуратор!$T$20,Конфигуратор!$X$20,Конфигуратор!$AB$20)-1,0)</f>
        <v>0</v>
      </c>
      <c r="D152" s="132" t="str">
        <f>VLOOKUP(B152,Прайс!A140:AC516,7,FALSE)</f>
        <v>упак.</v>
      </c>
      <c r="E152" s="133">
        <f>VLOOKUP(B152,Прайс!A140:AC516,8,FALSE)</f>
        <v>7850</v>
      </c>
      <c r="F152" s="133">
        <f t="shared" si="6"/>
        <v>0</v>
      </c>
    </row>
    <row r="153" spans="1:6" ht="19.5" thickBot="1" x14ac:dyDescent="0.35">
      <c r="A153" s="433" t="s">
        <v>926</v>
      </c>
      <c r="B153" s="435"/>
      <c r="C153" s="141">
        <v>1</v>
      </c>
      <c r="D153" s="436"/>
      <c r="E153" s="431"/>
      <c r="F153" s="432"/>
    </row>
    <row r="154" spans="1:6" x14ac:dyDescent="0.25">
      <c r="A154" s="148" t="s">
        <v>708</v>
      </c>
      <c r="B154" s="148" t="s">
        <v>707</v>
      </c>
      <c r="C154" s="129">
        <f>1+Конфигуратор!$E$10</f>
        <v>1</v>
      </c>
      <c r="D154" s="129" t="str">
        <f>VLOOKUP(B154,Прайс!A:AC,7,0)</f>
        <v>упак.</v>
      </c>
      <c r="E154" s="134">
        <f>VLOOKUP(B154,Прайс!A:AC,8,0)</f>
        <v>5481.98</v>
      </c>
      <c r="F154" s="134">
        <f t="shared" ref="F154:F176" si="7">E154*C154*(1-$B$1)</f>
        <v>2740.99</v>
      </c>
    </row>
    <row r="155" spans="1:6" hidden="1" x14ac:dyDescent="0.25">
      <c r="A155" s="144" t="s">
        <v>422</v>
      </c>
      <c r="B155" s="144" t="s">
        <v>421</v>
      </c>
      <c r="C155" s="126">
        <f>Конфигуратор!G13</f>
        <v>0</v>
      </c>
      <c r="D155" s="126" t="str">
        <f>VLOOKUP(B155,Прайс!A142:AC518,7,FALSE)</f>
        <v>шт</v>
      </c>
      <c r="E155" s="128">
        <f>VLOOKUP(B155,Прайс!A142:AC518,8,FALSE)</f>
        <v>608.46</v>
      </c>
      <c r="F155" s="128">
        <f t="shared" si="7"/>
        <v>0</v>
      </c>
    </row>
    <row r="156" spans="1:6" hidden="1" x14ac:dyDescent="0.25">
      <c r="A156" s="126" t="str">
        <f>Конфигуратор!E74</f>
        <v>Терминал для проводников универсальный 16-50 мм2 на шину (10мм.) EKF PROxima</v>
      </c>
      <c r="B156" s="127" t="str">
        <f>VLOOKUP(A156,Прайс!B:AC,2,0)</f>
        <v>ut-16.50-10</v>
      </c>
      <c r="C156" s="126">
        <f>Конфигуратор!J74</f>
        <v>0</v>
      </c>
      <c r="D156" s="126" t="str">
        <f>VLOOKUP(B156,Прайс!A158:AC519,7,FALSE)</f>
        <v>шт</v>
      </c>
      <c r="E156" s="128">
        <f>VLOOKUP(B156,Прайс!A158:AC519,8,FALSE)</f>
        <v>203.75</v>
      </c>
      <c r="F156" s="128">
        <f t="shared" si="7"/>
        <v>0</v>
      </c>
    </row>
    <row r="157" spans="1:6" hidden="1" x14ac:dyDescent="0.25">
      <c r="A157" s="126" t="str">
        <f>Конфигуратор!E76</f>
        <v>Терминал для проводников универсальный 1-4 мм2 на шину (5мм.) EKF PROxima</v>
      </c>
      <c r="B157" s="127" t="str">
        <f>VLOOKUP(A157,Прайс!B:AC,2,0)</f>
        <v>ut-1.4-5</v>
      </c>
      <c r="C157" s="126">
        <f>Конфигуратор!J75</f>
        <v>0</v>
      </c>
      <c r="D157" s="126" t="str">
        <f>VLOOKUP(B157,Прайс!A159:AC520,7,FALSE)</f>
        <v>шт</v>
      </c>
      <c r="E157" s="128">
        <f>VLOOKUP(B157,Прайс!A159:AC520,8,FALSE)</f>
        <v>67.28</v>
      </c>
      <c r="F157" s="128">
        <f t="shared" si="7"/>
        <v>0</v>
      </c>
    </row>
    <row r="158" spans="1:6" hidden="1" x14ac:dyDescent="0.25">
      <c r="A158" s="126" t="str">
        <f>Конфигуратор!E78</f>
        <v>Зажим на DIN-рейку пластиковый 1 винт EW EKF PROxima</v>
      </c>
      <c r="B158" s="127" t="str">
        <f>VLOOKUP(A158,Прайс!B:AC,2,0)</f>
        <v>ahdw-ew</v>
      </c>
      <c r="C158" s="126">
        <f>Конфигуратор!J77</f>
        <v>0</v>
      </c>
      <c r="D158" s="126" t="str">
        <f>VLOOKUP(B158,Прайс!A160:AC521,7,FALSE)</f>
        <v>шт</v>
      </c>
      <c r="E158" s="128">
        <f>VLOOKUP(B158,Прайс!A160:AC521,8,FALSE)</f>
        <v>17.91</v>
      </c>
      <c r="F158" s="128">
        <f t="shared" si="7"/>
        <v>0</v>
      </c>
    </row>
    <row r="159" spans="1:6" hidden="1" x14ac:dyDescent="0.25">
      <c r="A159" s="126" t="str">
        <f>Конфигуратор!E80</f>
        <v>Вентилятор с фильтром 170 м³/ч 176x176 мм 220В IP54 EKF PROxima</v>
      </c>
      <c r="B159" s="127" t="str">
        <f>VLOOKUP(A159,Прайс!B:AC,2,0)</f>
        <v>FAN170F</v>
      </c>
      <c r="C159" s="126">
        <f>Конфигуратор!J79</f>
        <v>0</v>
      </c>
      <c r="D159" s="126" t="str">
        <f>VLOOKUP(B159,Прайс!A161:AC522,7,FALSE)</f>
        <v>шт</v>
      </c>
      <c r="E159" s="128">
        <f>VLOOKUP(B159,Прайс!A161:AC522,8,FALSE)</f>
        <v>10550.57</v>
      </c>
      <c r="F159" s="128">
        <f t="shared" si="7"/>
        <v>0</v>
      </c>
    </row>
    <row r="160" spans="1:6" hidden="1" x14ac:dyDescent="0.25">
      <c r="A160" s="126" t="str">
        <f>Конфигуратор!E82</f>
        <v>Вентиляционная решётка с фильтром 291x291 мм IP54 EKF PROxima</v>
      </c>
      <c r="B160" s="127" t="str">
        <f>VLOOKUP(A160,Прайс!B:AC,2,0)</f>
        <v>EXF433</v>
      </c>
      <c r="C160" s="126">
        <f>Конфигуратор!J81</f>
        <v>0</v>
      </c>
      <c r="D160" s="126" t="str">
        <f>VLOOKUP(B160,Прайс!A162:AC523,7,FALSE)</f>
        <v>шт</v>
      </c>
      <c r="E160" s="128">
        <f>VLOOKUP(B160,Прайс!A162:AC523,8,FALSE)</f>
        <v>4784.33</v>
      </c>
      <c r="F160" s="128">
        <f t="shared" si="7"/>
        <v>0</v>
      </c>
    </row>
    <row r="161" spans="1:6" hidden="1" x14ac:dyDescent="0.25">
      <c r="A161" s="126" t="str">
        <f>Конфигуратор!E84</f>
        <v>Обогреватель на DIN-рейку клеммный 100Вт 230В IP20 EKF PROxima</v>
      </c>
      <c r="B161" s="127" t="str">
        <f>VLOOKUP(A161,Прайс!B:AC,2,0)</f>
        <v>heater-click-100-20</v>
      </c>
      <c r="C161" s="126">
        <f>Конфигуратор!J83</f>
        <v>0</v>
      </c>
      <c r="D161" s="126" t="str">
        <f>VLOOKUP(B161,Прайс!A163:AC524,7,FALSE)</f>
        <v>шт</v>
      </c>
      <c r="E161" s="128">
        <f>VLOOKUP(B161,Прайс!A163:AC524,8,FALSE)</f>
        <v>4344.43</v>
      </c>
      <c r="F161" s="128">
        <f t="shared" si="7"/>
        <v>0</v>
      </c>
    </row>
    <row r="162" spans="1:6" hidden="1" x14ac:dyDescent="0.25">
      <c r="A162" s="126" t="str">
        <f>Конфигуратор!E85</f>
        <v>Гигростат на DIN-рейку 5А 230В IP20 EKF PROxima</v>
      </c>
      <c r="B162" s="127" t="str">
        <f>VLOOKUP(A162,Прайс!B:AC,2,0)</f>
        <v>HCO5EM</v>
      </c>
      <c r="C162" s="126">
        <f>Конфигуратор!J85</f>
        <v>0</v>
      </c>
      <c r="D162" s="126" t="str">
        <f>VLOOKUP(B162,Прайс!A164:AC525,7,FALSE)</f>
        <v>шт</v>
      </c>
      <c r="E162" s="128">
        <f>VLOOKUP(B162,Прайс!A164:AC525,8,FALSE)</f>
        <v>5070.96</v>
      </c>
      <c r="F162" s="128">
        <f t="shared" si="7"/>
        <v>0</v>
      </c>
    </row>
    <row r="163" spans="1:6" hidden="1" x14ac:dyDescent="0.25">
      <c r="A163" s="126" t="str">
        <f>Конфигуратор!E87</f>
        <v>Термостат NO/NC (охлаждение/обогрев) накладной 16A 230В IP20 EKF PROxima</v>
      </c>
      <c r="B163" s="127" t="str">
        <f>VLOOKUP(A163,Прайс!B:AC,2,0)</f>
        <v>thermo-no-nc-wall</v>
      </c>
      <c r="C163" s="126">
        <f>Конфигуратор!J86</f>
        <v>0</v>
      </c>
      <c r="D163" s="126" t="str">
        <f>VLOOKUP(B163,Прайс!A165:AC526,7,FALSE)</f>
        <v>шт</v>
      </c>
      <c r="E163" s="128">
        <f>VLOOKUP(B163,Прайс!A165:AC526,8,FALSE)</f>
        <v>2141.5500000000002</v>
      </c>
      <c r="F163" s="128">
        <f t="shared" si="7"/>
        <v>0</v>
      </c>
    </row>
    <row r="164" spans="1:6" hidden="1" x14ac:dyDescent="0.25">
      <c r="A164" s="126" t="str">
        <f>Конфигуратор!E89</f>
        <v>Светильник светодиодный щитовой 220В, 5Вт магнит EKF PROxima</v>
      </c>
      <c r="B164" s="127" t="str">
        <f>VLOOKUP(A164,Прайс!B:AC,2,0)</f>
        <v>ELM025</v>
      </c>
      <c r="C164" s="126">
        <f>Конфигуратор!J88</f>
        <v>0</v>
      </c>
      <c r="D164" s="126" t="str">
        <f>VLOOKUP(B164,Прайс!A166:AC527,7,FALSE)</f>
        <v>шт</v>
      </c>
      <c r="E164" s="128">
        <f>VLOOKUP(B164,Прайс!A166:AC527,8,FALSE)</f>
        <v>6141.01</v>
      </c>
      <c r="F164" s="128">
        <f t="shared" si="7"/>
        <v>0</v>
      </c>
    </row>
    <row r="165" spans="1:6" hidden="1" x14ac:dyDescent="0.25">
      <c r="A165" s="126" t="str">
        <f>Конфигуратор!E91</f>
        <v>Концевой выключатель TZ-8108 EKF PROxima</v>
      </c>
      <c r="B165" s="127" t="str">
        <f>VLOOKUP(A165,Прайс!B:AC,2,0)</f>
        <v>tz8108</v>
      </c>
      <c r="C165" s="126">
        <f>Конфигуратор!J90</f>
        <v>0</v>
      </c>
      <c r="D165" s="126" t="str">
        <f>VLOOKUP(B165,Прайс!A167:AC528,7,FALSE)</f>
        <v>шт</v>
      </c>
      <c r="E165" s="128">
        <f>VLOOKUP(B165,Прайс!A167:AC528,8,FALSE)</f>
        <v>1694</v>
      </c>
      <c r="F165" s="128">
        <f t="shared" si="7"/>
        <v>0</v>
      </c>
    </row>
    <row r="166" spans="1:6" hidden="1" x14ac:dyDescent="0.25">
      <c r="A166" s="126" t="str">
        <f>Конфигуратор!E93</f>
        <v>Площадка самоклеящаяся (20х20мм.) черная (100шт.) EKF</v>
      </c>
      <c r="B166" s="127" t="str">
        <f>VLOOKUP(A166,Прайс!B:AC,2,0)</f>
        <v>plc-20x20-b</v>
      </c>
      <c r="C166" s="126">
        <f>Конфигуратор!J92</f>
        <v>0</v>
      </c>
      <c r="D166" s="126" t="str">
        <f>VLOOKUP(B166,Прайс!A168:AC529,7,FALSE)</f>
        <v>упак.</v>
      </c>
      <c r="E166" s="128">
        <f>VLOOKUP(B166,Прайс!A168:AC529,8,FALSE)</f>
        <v>416.45</v>
      </c>
      <c r="F166" s="128">
        <f t="shared" si="7"/>
        <v>0</v>
      </c>
    </row>
    <row r="167" spans="1:6" hidden="1" x14ac:dyDescent="0.25">
      <c r="A167" s="126" t="str">
        <f>Конфигуратор!E95</f>
        <v>Лента спиральная монтажная SWB-12 D12мм d9мм (10м.) EKF PROxima</v>
      </c>
      <c r="B167" s="127" t="str">
        <f>VLOOKUP(A167,Прайс!B:AC,2,0)</f>
        <v>plc-swb-12</v>
      </c>
      <c r="C167" s="126">
        <f>Конфигуратор!J94</f>
        <v>0</v>
      </c>
      <c r="D167" s="126" t="str">
        <f>VLOOKUP(B167,Прайс!A169:AC530,7,FALSE)</f>
        <v>упак.</v>
      </c>
      <c r="E167" s="128">
        <f>VLOOKUP(B167,Прайс!A169:AC530,8,FALSE)</f>
        <v>723.82</v>
      </c>
      <c r="F167" s="128">
        <f t="shared" si="7"/>
        <v>0</v>
      </c>
    </row>
    <row r="168" spans="1:6" hidden="1" x14ac:dyDescent="0.25">
      <c r="A168" s="126" t="str">
        <f>Конфигуратор!E97</f>
        <v>Лента спиральная монтажная SWB-19 D19мм d15мм (10м.) EKF PROxima</v>
      </c>
      <c r="B168" s="127" t="str">
        <f>VLOOKUP(A168,Прайс!B:AC,2,0)</f>
        <v>plc-swb-19</v>
      </c>
      <c r="C168" s="126">
        <f>Конфигуратор!J96</f>
        <v>0</v>
      </c>
      <c r="D168" s="126" t="str">
        <f>VLOOKUP(B168,Прайс!A170:AC531,7,FALSE)</f>
        <v>упак.</v>
      </c>
      <c r="E168" s="128">
        <f>VLOOKUP(B168,Прайс!A170:AC531,8,FALSE)</f>
        <v>1429.63</v>
      </c>
      <c r="F168" s="128">
        <f t="shared" si="7"/>
        <v>0</v>
      </c>
    </row>
    <row r="169" spans="1:6" hidden="1" x14ac:dyDescent="0.25">
      <c r="A169" s="126" t="str">
        <f>Конфигуратор!E99</f>
        <v>Кабельная оплетка из полиамида 12-20 мм 100 м EKF PROxima</v>
      </c>
      <c r="B169" s="127" t="str">
        <f>VLOOKUP(A169,Прайс!B:AC,2,0)</f>
        <v>cb-pa-12-20</v>
      </c>
      <c r="C169" s="126">
        <f>Конфигуратор!J100</f>
        <v>0</v>
      </c>
      <c r="D169" s="126" t="str">
        <f>VLOOKUP(B169,Прайс!A171:AC532,7,FALSE)</f>
        <v>м</v>
      </c>
      <c r="E169" s="128">
        <f>VLOOKUP(B169,Прайс!A171:AC532,8,FALSE)</f>
        <v>194.95</v>
      </c>
      <c r="F169" s="128">
        <f t="shared" si="7"/>
        <v>0</v>
      </c>
    </row>
    <row r="170" spans="1:6" hidden="1" x14ac:dyDescent="0.25">
      <c r="A170" s="126" t="str">
        <f>Конфигуратор!E101</f>
        <v>Кабельная оплетка из полиамида 20-32 мм 50 м EKF PROxima</v>
      </c>
      <c r="B170" s="127" t="str">
        <f>VLOOKUP(A170,Прайс!B:AC,2,0)</f>
        <v>cb-pa-20-32</v>
      </c>
      <c r="C170" s="126">
        <f>Конфигуратор!J102</f>
        <v>0</v>
      </c>
      <c r="D170" s="126" t="str">
        <f>VLOOKUP(B170,Прайс!A172:AC533,7,FALSE)</f>
        <v>м</v>
      </c>
      <c r="E170" s="128">
        <f>VLOOKUP(B170,Прайс!A172:AC533,8,FALSE)</f>
        <v>254.95</v>
      </c>
      <c r="F170" s="128">
        <f t="shared" si="7"/>
        <v>0</v>
      </c>
    </row>
    <row r="171" spans="1:6" hidden="1" x14ac:dyDescent="0.25">
      <c r="A171" s="126" t="str">
        <f>Конфигуратор!E103</f>
        <v>Сальник PG16 IP54 (20 шт) d отв. 21 мм / d провод. 10-14 мм EKF PROxima</v>
      </c>
      <c r="B171" s="127" t="str">
        <f>VLOOKUP(A171,Прайс!B:AC,2,0)</f>
        <v>plc-pg-16-r</v>
      </c>
      <c r="C171" s="126">
        <f>Конфигуратор!J102</f>
        <v>0</v>
      </c>
      <c r="D171" s="126" t="str">
        <f>VLOOKUP(B171,Прайс!A173:AC534,7,FALSE)</f>
        <v>шт</v>
      </c>
      <c r="E171" s="128">
        <f>VLOOKUP(B171,Прайс!A173:AC534,8,FALSE)</f>
        <v>43.24</v>
      </c>
      <c r="F171" s="128">
        <f t="shared" si="7"/>
        <v>0</v>
      </c>
    </row>
    <row r="172" spans="1:6" hidden="1" x14ac:dyDescent="0.25">
      <c r="A172" s="126" t="str">
        <f>Конфигуратор!E105</f>
        <v>Сальник PG25 IP54 (20 шт) d отв. 31 мм / d провод. 16-21 мм EKF PROxima</v>
      </c>
      <c r="B172" s="127" t="str">
        <f>VLOOKUP(A172,Прайс!B:AC,2,0)</f>
        <v>plc-pg-25-r</v>
      </c>
      <c r="C172" s="126">
        <f>Конфигуратор!J104</f>
        <v>0</v>
      </c>
      <c r="D172" s="126" t="str">
        <f>VLOOKUP(B172,Прайс!A174:AC535,7,FALSE)</f>
        <v>шт</v>
      </c>
      <c r="E172" s="128">
        <f>VLOOKUP(B172,Прайс!A174:AC535,8,FALSE)</f>
        <v>114.89</v>
      </c>
      <c r="F172" s="128">
        <f t="shared" si="7"/>
        <v>0</v>
      </c>
    </row>
    <row r="173" spans="1:6" hidden="1" x14ac:dyDescent="0.25">
      <c r="A173" s="126" t="str">
        <f>Конфигуратор!E107</f>
        <v>Сальник металлический MGM25 IP68 d проводника 10-14 мм. PROxima</v>
      </c>
      <c r="B173" s="127" t="str">
        <f>VLOOKUP(A173,Прайс!B:AC,2,0)</f>
        <v>plc-mgm-25</v>
      </c>
      <c r="C173" s="126">
        <f>Конфигуратор!J106</f>
        <v>0</v>
      </c>
      <c r="D173" s="126" t="str">
        <f>VLOOKUP(B173,Прайс!A175:AC536,7,FALSE)</f>
        <v>шт</v>
      </c>
      <c r="E173" s="128">
        <f>VLOOKUP(B173,Прайс!A175:AC536,8,FALSE)</f>
        <v>454.5</v>
      </c>
      <c r="F173" s="128">
        <f t="shared" si="7"/>
        <v>0</v>
      </c>
    </row>
    <row r="174" spans="1:6" hidden="1" x14ac:dyDescent="0.25">
      <c r="A174" s="126" t="str">
        <f>Конфигуратор!E109</f>
        <v>Сальник металлический MGM63 IP68 d проводника 38-44 мм. PROxima</v>
      </c>
      <c r="B174" s="127" t="str">
        <f>VLOOKUP(A174,Прайс!B:AC,2,0)</f>
        <v>plc-mgm-63</v>
      </c>
      <c r="C174" s="126">
        <f>Конфигуратор!J108</f>
        <v>0</v>
      </c>
      <c r="D174" s="126" t="str">
        <f>VLOOKUP(B174,Прайс!A176:AC537,7,FALSE)</f>
        <v>шт</v>
      </c>
      <c r="E174" s="128">
        <f>VLOOKUP(B174,Прайс!A176:AC537,8,FALSE)</f>
        <v>3577.57</v>
      </c>
      <c r="F174" s="128">
        <f t="shared" si="7"/>
        <v>0</v>
      </c>
    </row>
    <row r="175" spans="1:6" hidden="1" x14ac:dyDescent="0.25">
      <c r="A175" s="126" t="str">
        <f>Конфигуратор!E110</f>
        <v>Фланец мембранный 220х79 мм для шкафа IP54 EKF PROxima</v>
      </c>
      <c r="B175" s="127" t="str">
        <f>VLOOKUP(A175,Прайс!B:AC,2,0)</f>
        <v>plc-df-w</v>
      </c>
      <c r="C175" s="126">
        <f>Конфигуратор!J110</f>
        <v>0</v>
      </c>
      <c r="D175" s="126" t="str">
        <f>VLOOKUP(B175,Прайс!A177:AC538,7,FALSE)</f>
        <v>шт</v>
      </c>
      <c r="E175" s="128">
        <f>VLOOKUP(B175,Прайс!A177:AC538,8,FALSE)</f>
        <v>2736.09</v>
      </c>
      <c r="F175" s="128">
        <f t="shared" si="7"/>
        <v>0</v>
      </c>
    </row>
    <row r="176" spans="1:6" hidden="1" x14ac:dyDescent="0.25">
      <c r="A176" s="126" t="str">
        <f>Конфигуратор!E112</f>
        <v>Щеточный буртик на алюминиевом держателе 400*45 ЕKF (2шт)</v>
      </c>
      <c r="B176" s="127" t="str">
        <f>VLOOKUP(A176,Прайс!B:AC,2,0)</f>
        <v>BSCE4045C</v>
      </c>
      <c r="C176" s="126">
        <f>Конфигуратор!J111</f>
        <v>0</v>
      </c>
      <c r="D176" s="126" t="str">
        <f>VLOOKUP(B176,Прайс!A178:AC539,7,FALSE)</f>
        <v>упак.</v>
      </c>
      <c r="E176" s="128">
        <f>VLOOKUP(B176,Прайс!A178:AC539,8,FALSE)</f>
        <v>3849.55</v>
      </c>
      <c r="F176" s="128">
        <f t="shared" si="7"/>
        <v>0</v>
      </c>
    </row>
    <row r="177" spans="1:6" hidden="1" x14ac:dyDescent="0.25">
      <c r="A177" s="144" t="s">
        <v>326</v>
      </c>
      <c r="B177" s="144" t="s">
        <v>325</v>
      </c>
      <c r="C177" s="126">
        <f>SUM(Конфигуратор!H34,Конфигуратор!L34,Конфигуратор!P34,Конфигуратор!T34,Конфигуратор!X34,Конфигуратор!AB34)</f>
        <v>0</v>
      </c>
      <c r="D177" s="126" t="str">
        <f>VLOOKUP(B177,Прайс!A179:AC540,7,FALSE)</f>
        <v>шт</v>
      </c>
      <c r="E177" s="128">
        <f>VLOOKUP(B177,Прайс!A179:AC540,8,FALSE)</f>
        <v>622.69000000000005</v>
      </c>
      <c r="F177" s="128">
        <f t="shared" ref="F177:F178" si="8">E177*C177*(1-$B$1)</f>
        <v>0</v>
      </c>
    </row>
    <row r="178" spans="1:6" hidden="1" x14ac:dyDescent="0.25">
      <c r="A178" s="144" t="s">
        <v>323</v>
      </c>
      <c r="B178" s="144" t="s">
        <v>322</v>
      </c>
      <c r="C178" s="126">
        <f>SUM(Конфигуратор!H35,Конфигуратор!L35,Конфигуратор!P35,Конфигуратор!T35,Конфигуратор!X35,Конфигуратор!AB35)</f>
        <v>0</v>
      </c>
      <c r="D178" s="126" t="str">
        <f>VLOOKUP(B178,Прайс!A180:AC541,7,FALSE)</f>
        <v>шт</v>
      </c>
      <c r="E178" s="128">
        <f>VLOOKUP(B178,Прайс!A180:AC541,8,FALSE)</f>
        <v>1628.37</v>
      </c>
      <c r="F178" s="128">
        <f t="shared" si="8"/>
        <v>0</v>
      </c>
    </row>
    <row r="179" spans="1:6" hidden="1" x14ac:dyDescent="0.25">
      <c r="A179" s="144"/>
      <c r="B179" s="144"/>
      <c r="C179" s="126"/>
      <c r="D179" s="126"/>
      <c r="E179" s="128"/>
      <c r="F179" s="128"/>
    </row>
    <row r="180" spans="1:6" ht="21" x14ac:dyDescent="0.35">
      <c r="A180" s="137" t="s">
        <v>985</v>
      </c>
      <c r="B180" s="138"/>
      <c r="C180" s="140">
        <v>1</v>
      </c>
      <c r="D180" s="138"/>
      <c r="E180" s="139"/>
      <c r="F180" s="206">
        <f>SUM(F5:F152,F154:F178)</f>
        <v>2740.99</v>
      </c>
    </row>
    <row r="181" spans="1:6" ht="19.5" hidden="1" thickBot="1" x14ac:dyDescent="0.35">
      <c r="A181" s="433" t="s">
        <v>883</v>
      </c>
      <c r="B181" s="434"/>
      <c r="C181" s="143">
        <f>IF(C183=0,0,1)</f>
        <v>0</v>
      </c>
      <c r="D181" s="431"/>
      <c r="E181" s="431"/>
      <c r="F181" s="432"/>
    </row>
    <row r="182" spans="1:6" hidden="1" x14ac:dyDescent="0.25">
      <c r="A182" s="438" t="s">
        <v>953</v>
      </c>
      <c r="B182" s="439"/>
      <c r="C182" s="440">
        <f>IF(C183=0,0,Конфигуратор!E16)</f>
        <v>0</v>
      </c>
      <c r="D182" s="441"/>
    </row>
    <row r="183" spans="1:6" hidden="1" x14ac:dyDescent="0.25">
      <c r="A183" s="437" t="s">
        <v>943</v>
      </c>
      <c r="B183" s="437"/>
      <c r="C183" s="442">
        <f>ROUNDUP(SUM(C186:C192),0)</f>
        <v>0</v>
      </c>
      <c r="D183" s="443"/>
      <c r="E183" s="119"/>
      <c r="F183" s="119"/>
    </row>
    <row r="184" spans="1:6" hidden="1" x14ac:dyDescent="0.25">
      <c r="A184" s="437" t="s">
        <v>964</v>
      </c>
      <c r="B184" s="437"/>
      <c r="C184" s="437"/>
      <c r="D184" s="437"/>
      <c r="E184" s="119"/>
      <c r="F184" s="119"/>
    </row>
    <row r="185" spans="1:6" hidden="1" x14ac:dyDescent="0.25">
      <c r="A185" s="126"/>
      <c r="B185" s="126" t="s">
        <v>950</v>
      </c>
      <c r="C185" s="254">
        <f>IF(C183=0,0,"кг")</f>
        <v>0</v>
      </c>
      <c r="D185" s="254" t="s">
        <v>499</v>
      </c>
      <c r="E185" s="119"/>
      <c r="F185" s="119"/>
    </row>
    <row r="186" spans="1:6" s="270" customFormat="1" hidden="1" x14ac:dyDescent="0.25">
      <c r="A186" s="268" t="s">
        <v>952</v>
      </c>
      <c r="B186" s="268">
        <f>Конфигуратор!D23</f>
        <v>0</v>
      </c>
      <c r="C186" s="267">
        <f>ROUNDUP(IF(Конфигуратор!$E$15=0,0,SUM(Конфигуратор!D24*Конфигуратор!D20,Конфигуратор!H32,Конфигуратор!L32,Конфигуратор!P32,Конфигуратор!T32,Конфигуратор!X32,Конфигуратор!AB32)),0)</f>
        <v>0</v>
      </c>
      <c r="D186" s="271">
        <f>IF(OR(Конфигуратор!$D$23=Конфигуратор!$M$153,Конфигуратор!$D$23=Конфигуратор!$M$154,Конфигуратор!$D$23=Конфигуратор!$M$155,Конфигуратор!$D$23=Конфигуратор!$M$156,Конфигуратор!$D$23=Конфигуратор!$M$157,Конфигуратор!$D$23=Конфигуратор!$M$158),Конфигуратор!$F$156,IF(Конфигуратор!$D$23=Конфигуратор!$M$162,Конфигуратор!$H$156,Конфигуратор!$G$156))</f>
        <v>0</v>
      </c>
    </row>
    <row r="187" spans="1:6" hidden="1" x14ac:dyDescent="0.25">
      <c r="A187" s="126" t="s">
        <v>944</v>
      </c>
      <c r="B187" s="126" t="str">
        <f>Конфигуратор!H71</f>
        <v>4х30</v>
      </c>
      <c r="C187" s="255">
        <f>ROUNDUP(Конфигуратор!H33,0)</f>
        <v>0</v>
      </c>
      <c r="D187" s="254">
        <f>IF(Конфигуратор!$H$20=0,0,IF(OR(Конфигуратор!$H$71=Конфигуратор!$M$153,Конфигуратор!$H$71=Конфигуратор!$M$154,Конфигуратор!$H$71=Конфигуратор!$M$155,Конфигуратор!$H$71=Конфигуратор!$M$156,Конфигуратор!$H$71=Конфигуратор!$M$157,Конфигуратор!$H$71=Конфигуратор!$M$158),Конфигуратор!$F$150,IF(Конфигуратор!$H$71=Конфигуратор!$M$162,Конфигуратор!$H$150,Конфигуратор!$G$150)))</f>
        <v>0</v>
      </c>
      <c r="F187" s="119"/>
    </row>
    <row r="188" spans="1:6" hidden="1" x14ac:dyDescent="0.25">
      <c r="A188" s="126" t="s">
        <v>945</v>
      </c>
      <c r="B188" s="126" t="str">
        <f>Конфигуратор!L71</f>
        <v>4х30</v>
      </c>
      <c r="C188" s="255">
        <f>ROUNDUP(Конфигуратор!L33,0)</f>
        <v>0</v>
      </c>
      <c r="D188" s="254">
        <f>IF(Конфигуратор!$L$20=0,0,IF(OR(Конфигуратор!$L$71=Конфигуратор!$M$153,Конфигуратор!$L$71=Конфигуратор!$M$154,Конфигуратор!$L$71=Конфигуратор!$M$155,Конфигуратор!$L$71=Конфигуратор!$M$156,Конфигуратор!$L$71=Конфигуратор!$M$157,Конфигуратор!$L$71=Конфигуратор!$M$158),Конфигуратор!$F$151,IF(Конфигуратор!$L$71=Конфигуратор!$M$162,Конфигуратор!$H$151,Конфигуратор!$G$151)))</f>
        <v>0</v>
      </c>
      <c r="F188" s="119"/>
    </row>
    <row r="189" spans="1:6" hidden="1" x14ac:dyDescent="0.25">
      <c r="A189" s="126" t="s">
        <v>946</v>
      </c>
      <c r="B189" s="126" t="str">
        <f>Конфигуратор!P71</f>
        <v>4х30</v>
      </c>
      <c r="C189" s="255">
        <f>ROUNDUP(Конфигуратор!P33,0)</f>
        <v>0</v>
      </c>
      <c r="D189" s="254">
        <f>IF(Конфигуратор!$P$20=0,0,IF(OR(Конфигуратор!$P$71=Конфигуратор!$M$153,Конфигуратор!$P$71=Конфигуратор!$M$154,Конфигуратор!$P$71=Конфигуратор!$M$155,Конфигуратор!$P$71=Конфигуратор!$M$156,Конфигуратор!$P$71=Конфигуратор!$M$157,Конфигуратор!$P$71=Конфигуратор!$M$158),Конфигуратор!$F$152,IF(Конфигуратор!$P$71=Конфигуратор!$M$162,Конфигуратор!$H$152,Конфигуратор!$G$152)))</f>
        <v>0</v>
      </c>
      <c r="F189" s="119"/>
    </row>
    <row r="190" spans="1:6" ht="15" hidden="1" customHeight="1" x14ac:dyDescent="0.25">
      <c r="A190" s="126" t="s">
        <v>947</v>
      </c>
      <c r="B190" s="126" t="str">
        <f>Конфигуратор!T71</f>
        <v>4х30</v>
      </c>
      <c r="C190" s="255">
        <f>ROUNDUP(Конфигуратор!T33,0)</f>
        <v>0</v>
      </c>
      <c r="D190" s="254">
        <f>IF(Конфигуратор!$T$20=0,0,IF(OR(Конфигуратор!$T$71=Конфигуратор!$M$153,Конфигуратор!$T$71=Конфигуратор!$M$154,Конфигуратор!$T$71=Конфигуратор!$M$155,Конфигуратор!$T$71=Конфигуратор!$M$156,Конфигуратор!$T$71=Конфигуратор!$M$157,Конфигуратор!$T$71=Конфигуратор!$M$158),Конфигуратор!$F$153,IF(Конфигуратор!$T$71=Конфигуратор!$M$162,Конфигуратор!$H$153,Конфигуратор!$G$153)))</f>
        <v>0</v>
      </c>
      <c r="F190" s="119"/>
    </row>
    <row r="191" spans="1:6" ht="15" hidden="1" customHeight="1" x14ac:dyDescent="0.25">
      <c r="A191" s="126" t="s">
        <v>948</v>
      </c>
      <c r="B191" s="126" t="str">
        <f>Конфигуратор!X71</f>
        <v>4х30</v>
      </c>
      <c r="C191" s="255">
        <f>Конфигуратор!X33</f>
        <v>0</v>
      </c>
      <c r="D191" s="254">
        <f>IF(Конфигуратор!$X$20=0,0,IF(OR(Конфигуратор!$X$71=Конфигуратор!$M$153,Конфигуратор!$X$71=Конфигуратор!$M$154,Конфигуратор!$X$71=Конфигуратор!$M$155,Конфигуратор!$X$71=Конфигуратор!$M$156,Конфигуратор!$X$71=Конфигуратор!$M$157,Конфигуратор!$X$71=Конфигуратор!$M$158),Конфигуратор!$F$154,IF(Конфигуратор!$X$71=Конфигуратор!$M$162,Конфигуратор!$H$154,Конфигуратор!$G$154)))</f>
        <v>0</v>
      </c>
      <c r="F191" s="119"/>
    </row>
    <row r="192" spans="1:6" ht="15" hidden="1" customHeight="1" x14ac:dyDescent="0.25">
      <c r="A192" s="126" t="s">
        <v>949</v>
      </c>
      <c r="B192" s="126" t="str">
        <f>Конфигуратор!AB71</f>
        <v>4х30</v>
      </c>
      <c r="C192" s="255">
        <f>Конфигуратор!AB33</f>
        <v>0</v>
      </c>
      <c r="D192" s="254">
        <f>IF(Конфигуратор!AB20=0,0,IF(OR(Конфигуратор!$AB$71=Конфигуратор!$M$153,Конфигуратор!$AB$71=Конфигуратор!$M$154,Конфигуратор!$AB$71=Конфигуратор!$M$155,Конфигуратор!$AB$71=Конфигуратор!$M$156,Конфигуратор!$AB$71=Конфигуратор!$M$157,Конфигуратор!$AB$71=Конфигуратор!$M$158),Конфигуратор!$F$155,IF(Конфигуратор!$AB$71=Конфигуратор!$M$162,Конфигуратор!$H$155,Конфигуратор!$G$155)))</f>
        <v>0</v>
      </c>
      <c r="F192" s="119"/>
    </row>
    <row r="194" spans="4:4" x14ac:dyDescent="0.25">
      <c r="D194" s="2"/>
    </row>
    <row r="195" spans="4:4" x14ac:dyDescent="0.25">
      <c r="D195" s="2"/>
    </row>
    <row r="196" spans="4:4" x14ac:dyDescent="0.25">
      <c r="D196" s="2"/>
    </row>
    <row r="197" spans="4:4" x14ac:dyDescent="0.25">
      <c r="D197" s="2"/>
    </row>
    <row r="198" spans="4:4" x14ac:dyDescent="0.25">
      <c r="D198" s="2"/>
    </row>
    <row r="199" spans="4:4" x14ac:dyDescent="0.25">
      <c r="D199" s="2"/>
    </row>
    <row r="200" spans="4:4" x14ac:dyDescent="0.25">
      <c r="D200" s="2"/>
    </row>
    <row r="201" spans="4:4" x14ac:dyDescent="0.25">
      <c r="D201" s="2"/>
    </row>
    <row r="202" spans="4:4" x14ac:dyDescent="0.25">
      <c r="D202" s="2"/>
    </row>
    <row r="203" spans="4:4" x14ac:dyDescent="0.25">
      <c r="D203" s="2"/>
    </row>
    <row r="204" spans="4:4" x14ac:dyDescent="0.25">
      <c r="D204" s="2"/>
    </row>
    <row r="205" spans="4:4" x14ac:dyDescent="0.25">
      <c r="D205" s="2"/>
    </row>
    <row r="206" spans="4:4" x14ac:dyDescent="0.25">
      <c r="D206" s="2"/>
    </row>
    <row r="207" spans="4:4" x14ac:dyDescent="0.25">
      <c r="D207" s="2"/>
    </row>
    <row r="208" spans="4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  <row r="220" spans="4:4" x14ac:dyDescent="0.25">
      <c r="D220" s="2"/>
    </row>
  </sheetData>
  <mergeCells count="14">
    <mergeCell ref="A184:D184"/>
    <mergeCell ref="A182:B182"/>
    <mergeCell ref="A183:B183"/>
    <mergeCell ref="C182:D182"/>
    <mergeCell ref="C183:D183"/>
    <mergeCell ref="A4:B4"/>
    <mergeCell ref="D4:F4"/>
    <mergeCell ref="C1:F1"/>
    <mergeCell ref="D181:F181"/>
    <mergeCell ref="A181:B181"/>
    <mergeCell ref="D2:F2"/>
    <mergeCell ref="A2:B2"/>
    <mergeCell ref="A153:B153"/>
    <mergeCell ref="D153:F153"/>
  </mergeCells>
  <dataValidations count="1">
    <dataValidation allowBlank="1" showInputMessage="1" showErrorMessage="1" promptTitle="Введите кол-во" prompt="в шт." sqref="D186" xr:uid="{C57F8A65-3D5F-43D0-AC4D-E1B88CE4F07F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91B37-5EB7-43CF-B244-B3A552E883A2}">
  <sheetPr codeName="Лист3"/>
  <dimension ref="A1:AC377"/>
  <sheetViews>
    <sheetView topLeftCell="A94" zoomScale="70" zoomScaleNormal="70" workbookViewId="0">
      <selection activeCell="H113" sqref="H113"/>
    </sheetView>
  </sheetViews>
  <sheetFormatPr defaultRowHeight="15" x14ac:dyDescent="0.25"/>
  <cols>
    <col min="1" max="1" width="19.5703125" bestFit="1" customWidth="1"/>
    <col min="2" max="2" width="84.28515625" bestFit="1" customWidth="1"/>
    <col min="3" max="3" width="19.5703125" bestFit="1" customWidth="1"/>
    <col min="4" max="4" width="32.42578125" customWidth="1"/>
    <col min="5" max="5" width="8" bestFit="1" customWidth="1"/>
    <col min="6" max="6" width="7.5703125" bestFit="1" customWidth="1"/>
    <col min="7" max="7" width="6.5703125" bestFit="1" customWidth="1"/>
    <col min="8" max="11" width="14.28515625" bestFit="1" customWidth="1"/>
    <col min="12" max="13" width="21.28515625" bestFit="1" customWidth="1"/>
    <col min="14" max="14" width="9" bestFit="1" customWidth="1"/>
    <col min="15" max="15" width="8.7109375" bestFit="1" customWidth="1"/>
    <col min="17" max="17" width="10.5703125" bestFit="1" customWidth="1"/>
    <col min="18" max="18" width="38.5703125" bestFit="1" customWidth="1"/>
    <col min="19" max="19" width="45.85546875" bestFit="1" customWidth="1"/>
    <col min="20" max="20" width="50.42578125" bestFit="1" customWidth="1"/>
    <col min="21" max="21" width="10.42578125" bestFit="1" customWidth="1"/>
    <col min="22" max="22" width="12.5703125" bestFit="1" customWidth="1"/>
    <col min="23" max="23" width="9" bestFit="1" customWidth="1"/>
    <col min="25" max="25" width="10" bestFit="1" customWidth="1"/>
    <col min="26" max="26" width="12.85546875" bestFit="1" customWidth="1"/>
    <col min="27" max="27" width="8.28515625" bestFit="1" customWidth="1"/>
    <col min="28" max="28" width="5.140625" bestFit="1" customWidth="1"/>
    <col min="29" max="29" width="8.42578125" bestFit="1" customWidth="1"/>
  </cols>
  <sheetData>
    <row r="1" spans="1:29" s="9" customFormat="1" ht="57" customHeight="1" x14ac:dyDescent="0.2">
      <c r="A1" s="3" t="s">
        <v>1</v>
      </c>
      <c r="B1" s="3" t="s">
        <v>0</v>
      </c>
      <c r="C1" s="3" t="s">
        <v>1</v>
      </c>
      <c r="D1" s="4" t="s">
        <v>856</v>
      </c>
      <c r="E1" s="4" t="s">
        <v>857</v>
      </c>
      <c r="F1" s="3" t="s">
        <v>858</v>
      </c>
      <c r="G1" s="3" t="s">
        <v>859</v>
      </c>
      <c r="H1" s="5" t="s">
        <v>860</v>
      </c>
      <c r="I1" s="5" t="s">
        <v>861</v>
      </c>
      <c r="J1" s="6" t="s">
        <v>862</v>
      </c>
      <c r="K1" s="6" t="s">
        <v>863</v>
      </c>
      <c r="L1" s="7" t="s">
        <v>864</v>
      </c>
      <c r="M1" s="7" t="s">
        <v>865</v>
      </c>
      <c r="N1" s="5" t="s">
        <v>866</v>
      </c>
      <c r="O1" s="5" t="s">
        <v>867</v>
      </c>
      <c r="P1" s="5" t="s">
        <v>868</v>
      </c>
      <c r="Q1" s="5" t="s">
        <v>869</v>
      </c>
      <c r="R1" s="5" t="s">
        <v>870</v>
      </c>
      <c r="S1" s="5" t="s">
        <v>871</v>
      </c>
      <c r="T1" s="5" t="s">
        <v>872</v>
      </c>
      <c r="U1" s="5" t="s">
        <v>873</v>
      </c>
      <c r="V1" s="5" t="s">
        <v>874</v>
      </c>
      <c r="W1" s="5" t="s">
        <v>875</v>
      </c>
      <c r="X1" s="5" t="s">
        <v>876</v>
      </c>
      <c r="Y1" s="5" t="s">
        <v>877</v>
      </c>
      <c r="Z1" s="5" t="s">
        <v>878</v>
      </c>
      <c r="AA1" s="5" t="s">
        <v>879</v>
      </c>
      <c r="AB1" s="5" t="s">
        <v>880</v>
      </c>
      <c r="AC1" s="8" t="s">
        <v>881</v>
      </c>
    </row>
    <row r="2" spans="1:29" s="10" customFormat="1" x14ac:dyDescent="0.25">
      <c r="A2" s="451" t="s">
        <v>882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</row>
    <row r="3" spans="1:29" s="23" customFormat="1" ht="24.75" customHeight="1" x14ac:dyDescent="0.25">
      <c r="A3" s="11" t="s">
        <v>19</v>
      </c>
      <c r="B3" s="12" t="s">
        <v>20</v>
      </c>
      <c r="C3" s="11" t="s">
        <v>19</v>
      </c>
      <c r="D3" s="13" t="s">
        <v>2</v>
      </c>
      <c r="E3" s="14" t="s">
        <v>2</v>
      </c>
      <c r="F3" s="15" t="s">
        <v>965</v>
      </c>
      <c r="G3" s="16" t="s">
        <v>11</v>
      </c>
      <c r="H3" s="17">
        <v>47790.13</v>
      </c>
      <c r="I3" s="17">
        <v>39825.11</v>
      </c>
      <c r="J3" s="17">
        <f t="shared" ref="J3:J66" si="0">H3-(36 *H3/100)</f>
        <v>30585.683199999999</v>
      </c>
      <c r="K3" s="17">
        <f t="shared" ref="K3:K66" si="1">H3-(25 *H3/100)</f>
        <v>35842.597499999996</v>
      </c>
      <c r="L3" s="18">
        <f t="shared" ref="L3:M66" si="2">IF(H3="","",H3*(1-$H$3))</f>
        <v>-2283848735.2868996</v>
      </c>
      <c r="M3" s="18">
        <f t="shared" si="2"/>
        <v>-1903207359.0542998</v>
      </c>
      <c r="N3" s="17" t="s">
        <v>4</v>
      </c>
      <c r="O3" s="19">
        <v>1</v>
      </c>
      <c r="P3" s="19">
        <v>1</v>
      </c>
      <c r="Q3" s="19">
        <v>1</v>
      </c>
      <c r="R3" s="11" t="s">
        <v>12</v>
      </c>
      <c r="S3" s="11" t="s">
        <v>21</v>
      </c>
      <c r="T3" s="20" t="s">
        <v>22</v>
      </c>
      <c r="U3" s="20"/>
      <c r="V3" s="16" t="s">
        <v>7</v>
      </c>
      <c r="W3" s="16" t="s">
        <v>6</v>
      </c>
      <c r="X3" s="16"/>
      <c r="Y3" s="21">
        <v>10.5</v>
      </c>
      <c r="Z3" s="22">
        <v>4.3475E-2</v>
      </c>
      <c r="AA3" s="17" t="e">
        <f t="shared" ref="AA3:AA34" si="3">IF(OR(F3="",L3=""),"",F3*L3)</f>
        <v>#VALUE!</v>
      </c>
      <c r="AB3" s="17" t="e">
        <f t="shared" ref="AB3:AB34" si="4">IF(OR(F3="",Y3=""),"",Y3*F3)</f>
        <v>#VALUE!</v>
      </c>
      <c r="AC3" s="21" t="e">
        <f t="shared" ref="AC3:AC34" si="5">IF(OR(F3="",Z3=""),"",F3*Z3)</f>
        <v>#VALUE!</v>
      </c>
    </row>
    <row r="4" spans="1:29" s="23" customFormat="1" ht="24.75" customHeight="1" x14ac:dyDescent="0.25">
      <c r="A4" s="11" t="s">
        <v>23</v>
      </c>
      <c r="B4" s="12" t="s">
        <v>24</v>
      </c>
      <c r="C4" s="11" t="s">
        <v>23</v>
      </c>
      <c r="D4" s="13" t="s">
        <v>2</v>
      </c>
      <c r="E4" s="14" t="s">
        <v>2</v>
      </c>
      <c r="F4" s="15" t="s">
        <v>965</v>
      </c>
      <c r="G4" s="16" t="s">
        <v>11</v>
      </c>
      <c r="H4" s="17">
        <v>49501.13</v>
      </c>
      <c r="I4" s="17">
        <v>41250.94</v>
      </c>
      <c r="J4" s="17">
        <f t="shared" si="0"/>
        <v>31680.723199999997</v>
      </c>
      <c r="K4" s="17">
        <f t="shared" si="1"/>
        <v>37125.847499999996</v>
      </c>
      <c r="L4" s="18">
        <f t="shared" si="2"/>
        <v>-2365615936.7168999</v>
      </c>
      <c r="M4" s="18">
        <f t="shared" si="2"/>
        <v>-1971346534.2822001</v>
      </c>
      <c r="N4" s="17" t="s">
        <v>9</v>
      </c>
      <c r="O4" s="19">
        <v>1</v>
      </c>
      <c r="P4" s="19">
        <v>1</v>
      </c>
      <c r="Q4" s="19">
        <v>1</v>
      </c>
      <c r="R4" s="11" t="s">
        <v>12</v>
      </c>
      <c r="S4" s="11" t="s">
        <v>21</v>
      </c>
      <c r="T4" s="20" t="s">
        <v>22</v>
      </c>
      <c r="U4" s="20"/>
      <c r="V4" s="16" t="s">
        <v>5</v>
      </c>
      <c r="W4" s="16" t="s">
        <v>6</v>
      </c>
      <c r="X4" s="16"/>
      <c r="Y4" s="21">
        <v>12</v>
      </c>
      <c r="Z4" s="22">
        <v>5.5225000000000003E-2</v>
      </c>
      <c r="AA4" s="17" t="e">
        <f t="shared" si="3"/>
        <v>#VALUE!</v>
      </c>
      <c r="AB4" s="17" t="e">
        <f t="shared" si="4"/>
        <v>#VALUE!</v>
      </c>
      <c r="AC4" s="21" t="e">
        <f t="shared" si="5"/>
        <v>#VALUE!</v>
      </c>
    </row>
    <row r="5" spans="1:29" s="23" customFormat="1" ht="24.75" customHeight="1" x14ac:dyDescent="0.25">
      <c r="A5" s="11" t="s">
        <v>25</v>
      </c>
      <c r="B5" s="12" t="s">
        <v>26</v>
      </c>
      <c r="C5" s="11" t="s">
        <v>25</v>
      </c>
      <c r="D5" s="13" t="s">
        <v>2</v>
      </c>
      <c r="E5" s="14" t="s">
        <v>2</v>
      </c>
      <c r="F5" s="15" t="s">
        <v>965</v>
      </c>
      <c r="G5" s="16" t="s">
        <v>11</v>
      </c>
      <c r="H5" s="17">
        <v>50258.79</v>
      </c>
      <c r="I5" s="17">
        <v>41882.33</v>
      </c>
      <c r="J5" s="17">
        <f t="shared" si="0"/>
        <v>32165.625600000003</v>
      </c>
      <c r="K5" s="17">
        <f t="shared" si="1"/>
        <v>37694.092499999999</v>
      </c>
      <c r="L5" s="18">
        <f t="shared" si="2"/>
        <v>-2401823848.9527001</v>
      </c>
      <c r="M5" s="18">
        <f t="shared" si="2"/>
        <v>-2001520113.0729001</v>
      </c>
      <c r="N5" s="17" t="s">
        <v>4</v>
      </c>
      <c r="O5" s="19">
        <v>1</v>
      </c>
      <c r="P5" s="19">
        <v>1</v>
      </c>
      <c r="Q5" s="19">
        <v>1</v>
      </c>
      <c r="R5" s="11" t="s">
        <v>12</v>
      </c>
      <c r="S5" s="11" t="s">
        <v>21</v>
      </c>
      <c r="T5" s="20" t="s">
        <v>22</v>
      </c>
      <c r="U5" s="20"/>
      <c r="V5" s="16" t="s">
        <v>7</v>
      </c>
      <c r="W5" s="16" t="s">
        <v>6</v>
      </c>
      <c r="X5" s="16"/>
      <c r="Y5" s="21">
        <v>13</v>
      </c>
      <c r="Z5" s="22">
        <v>6.1975000000000002E-2</v>
      </c>
      <c r="AA5" s="17" t="e">
        <f t="shared" si="3"/>
        <v>#VALUE!</v>
      </c>
      <c r="AB5" s="17" t="e">
        <f t="shared" si="4"/>
        <v>#VALUE!</v>
      </c>
      <c r="AC5" s="21" t="e">
        <f t="shared" si="5"/>
        <v>#VALUE!</v>
      </c>
    </row>
    <row r="6" spans="1:29" s="23" customFormat="1" ht="24.75" customHeight="1" x14ac:dyDescent="0.25">
      <c r="A6" s="11" t="s">
        <v>27</v>
      </c>
      <c r="B6" s="12" t="s">
        <v>28</v>
      </c>
      <c r="C6" s="11" t="s">
        <v>27</v>
      </c>
      <c r="D6" s="13" t="s">
        <v>2</v>
      </c>
      <c r="E6" s="14" t="s">
        <v>2</v>
      </c>
      <c r="F6" s="15" t="s">
        <v>965</v>
      </c>
      <c r="G6" s="16" t="s">
        <v>11</v>
      </c>
      <c r="H6" s="17">
        <v>52723.06</v>
      </c>
      <c r="I6" s="17">
        <v>43935.88</v>
      </c>
      <c r="J6" s="17">
        <f t="shared" si="0"/>
        <v>33742.758399999999</v>
      </c>
      <c r="K6" s="17">
        <f t="shared" si="1"/>
        <v>39542.294999999998</v>
      </c>
      <c r="L6" s="18">
        <f t="shared" si="2"/>
        <v>-2519589168.3377995</v>
      </c>
      <c r="M6" s="18">
        <f t="shared" si="2"/>
        <v>-2099657480.9843998</v>
      </c>
      <c r="N6" s="17" t="s">
        <v>4</v>
      </c>
      <c r="O6" s="19">
        <v>1</v>
      </c>
      <c r="P6" s="19">
        <v>1</v>
      </c>
      <c r="Q6" s="19">
        <v>1</v>
      </c>
      <c r="R6" s="11" t="s">
        <v>12</v>
      </c>
      <c r="S6" s="11" t="s">
        <v>21</v>
      </c>
      <c r="T6" s="20" t="s">
        <v>22</v>
      </c>
      <c r="U6" s="20"/>
      <c r="V6" s="16" t="s">
        <v>7</v>
      </c>
      <c r="W6" s="16" t="s">
        <v>6</v>
      </c>
      <c r="X6" s="16"/>
      <c r="Y6" s="21">
        <v>16</v>
      </c>
      <c r="Z6" s="22">
        <v>8.0475000000000005E-2</v>
      </c>
      <c r="AA6" s="17" t="e">
        <f t="shared" si="3"/>
        <v>#VALUE!</v>
      </c>
      <c r="AB6" s="17" t="e">
        <f t="shared" si="4"/>
        <v>#VALUE!</v>
      </c>
      <c r="AC6" s="21" t="e">
        <f t="shared" si="5"/>
        <v>#VALUE!</v>
      </c>
    </row>
    <row r="7" spans="1:29" s="23" customFormat="1" ht="24.75" customHeight="1" x14ac:dyDescent="0.25">
      <c r="A7" s="11" t="s">
        <v>29</v>
      </c>
      <c r="B7" s="12" t="s">
        <v>30</v>
      </c>
      <c r="C7" s="11" t="s">
        <v>29</v>
      </c>
      <c r="D7" s="13" t="s">
        <v>2</v>
      </c>
      <c r="E7" s="14" t="s">
        <v>2</v>
      </c>
      <c r="F7" s="15" t="s">
        <v>965</v>
      </c>
      <c r="G7" s="16" t="s">
        <v>11</v>
      </c>
      <c r="H7" s="17">
        <v>55886.03</v>
      </c>
      <c r="I7" s="17">
        <v>46571.69</v>
      </c>
      <c r="J7" s="17">
        <f t="shared" si="0"/>
        <v>35767.059200000003</v>
      </c>
      <c r="K7" s="17">
        <f t="shared" si="1"/>
        <v>41914.522499999999</v>
      </c>
      <c r="L7" s="18">
        <f t="shared" si="2"/>
        <v>-2670744752.8539</v>
      </c>
      <c r="M7" s="18">
        <f t="shared" si="2"/>
        <v>-2225620547.7297001</v>
      </c>
      <c r="N7" s="17" t="s">
        <v>4</v>
      </c>
      <c r="O7" s="19">
        <v>1</v>
      </c>
      <c r="P7" s="19">
        <v>1</v>
      </c>
      <c r="Q7" s="19">
        <v>1</v>
      </c>
      <c r="R7" s="11" t="s">
        <v>12</v>
      </c>
      <c r="S7" s="11" t="s">
        <v>21</v>
      </c>
      <c r="T7" s="20" t="s">
        <v>22</v>
      </c>
      <c r="U7" s="20"/>
      <c r="V7" s="16" t="s">
        <v>5</v>
      </c>
      <c r="W7" s="16" t="s">
        <v>6</v>
      </c>
      <c r="X7" s="16"/>
      <c r="Y7" s="21">
        <v>15</v>
      </c>
      <c r="Z7" s="22">
        <v>7.8725000000000003E-2</v>
      </c>
      <c r="AA7" s="17" t="e">
        <f t="shared" si="3"/>
        <v>#VALUE!</v>
      </c>
      <c r="AB7" s="17" t="e">
        <f t="shared" si="4"/>
        <v>#VALUE!</v>
      </c>
      <c r="AC7" s="21" t="e">
        <f t="shared" si="5"/>
        <v>#VALUE!</v>
      </c>
    </row>
    <row r="8" spans="1:29" s="23" customFormat="1" ht="24.75" customHeight="1" x14ac:dyDescent="0.25">
      <c r="A8" s="11" t="s">
        <v>31</v>
      </c>
      <c r="B8" s="12" t="s">
        <v>32</v>
      </c>
      <c r="C8" s="11" t="s">
        <v>31</v>
      </c>
      <c r="D8" s="13" t="s">
        <v>2</v>
      </c>
      <c r="E8" s="14" t="s">
        <v>2</v>
      </c>
      <c r="F8" s="15" t="s">
        <v>965</v>
      </c>
      <c r="G8" s="16" t="s">
        <v>11</v>
      </c>
      <c r="H8" s="17">
        <v>58833.24</v>
      </c>
      <c r="I8" s="17">
        <v>49027.7</v>
      </c>
      <c r="J8" s="17">
        <f t="shared" si="0"/>
        <v>37653.2736</v>
      </c>
      <c r="K8" s="17">
        <f t="shared" si="1"/>
        <v>44124.93</v>
      </c>
      <c r="L8" s="18">
        <f t="shared" si="2"/>
        <v>-2811589354.6811996</v>
      </c>
      <c r="M8" s="18">
        <f t="shared" si="2"/>
        <v>-2342991128.9009995</v>
      </c>
      <c r="N8" s="17" t="s">
        <v>4</v>
      </c>
      <c r="O8" s="19">
        <v>1</v>
      </c>
      <c r="P8" s="19">
        <v>1</v>
      </c>
      <c r="Q8" s="19">
        <v>1</v>
      </c>
      <c r="R8" s="11" t="s">
        <v>12</v>
      </c>
      <c r="S8" s="11" t="s">
        <v>21</v>
      </c>
      <c r="T8" s="20" t="s">
        <v>22</v>
      </c>
      <c r="U8" s="20"/>
      <c r="V8" s="16" t="s">
        <v>5</v>
      </c>
      <c r="W8" s="16" t="s">
        <v>6</v>
      </c>
      <c r="X8" s="16"/>
      <c r="Y8" s="21">
        <v>18</v>
      </c>
      <c r="Z8" s="22">
        <v>0.102225</v>
      </c>
      <c r="AA8" s="17" t="e">
        <f t="shared" si="3"/>
        <v>#VALUE!</v>
      </c>
      <c r="AB8" s="17" t="e">
        <f t="shared" si="4"/>
        <v>#VALUE!</v>
      </c>
      <c r="AC8" s="21" t="e">
        <f t="shared" si="5"/>
        <v>#VALUE!</v>
      </c>
    </row>
    <row r="9" spans="1:29" s="23" customFormat="1" ht="24.75" customHeight="1" x14ac:dyDescent="0.25">
      <c r="A9" s="11" t="s">
        <v>33</v>
      </c>
      <c r="B9" s="12" t="s">
        <v>34</v>
      </c>
      <c r="C9" s="11" t="s">
        <v>33</v>
      </c>
      <c r="D9" s="13" t="s">
        <v>2</v>
      </c>
      <c r="E9" s="14" t="s">
        <v>2</v>
      </c>
      <c r="F9" s="15" t="s">
        <v>965</v>
      </c>
      <c r="G9" s="16" t="s">
        <v>11</v>
      </c>
      <c r="H9" s="17">
        <v>56017.43</v>
      </c>
      <c r="I9" s="17">
        <v>46681.19</v>
      </c>
      <c r="J9" s="17">
        <f t="shared" si="0"/>
        <v>35851.155200000001</v>
      </c>
      <c r="K9" s="17">
        <f t="shared" si="1"/>
        <v>42013.072500000002</v>
      </c>
      <c r="L9" s="18">
        <f t="shared" si="2"/>
        <v>-2677024244.5358996</v>
      </c>
      <c r="M9" s="18">
        <f t="shared" si="2"/>
        <v>-2230853457.4647002</v>
      </c>
      <c r="N9" s="17" t="s">
        <v>4</v>
      </c>
      <c r="O9" s="19">
        <v>1</v>
      </c>
      <c r="P9" s="19">
        <v>1</v>
      </c>
      <c r="Q9" s="19">
        <v>1</v>
      </c>
      <c r="R9" s="11" t="s">
        <v>12</v>
      </c>
      <c r="S9" s="11" t="s">
        <v>21</v>
      </c>
      <c r="T9" s="20" t="s">
        <v>22</v>
      </c>
      <c r="U9" s="20"/>
      <c r="V9" s="16" t="s">
        <v>5</v>
      </c>
      <c r="W9" s="16" t="s">
        <v>6</v>
      </c>
      <c r="X9" s="16"/>
      <c r="Y9" s="21">
        <v>15</v>
      </c>
      <c r="Z9" s="22">
        <v>7.8725000000000003E-2</v>
      </c>
      <c r="AA9" s="17" t="e">
        <f t="shared" si="3"/>
        <v>#VALUE!</v>
      </c>
      <c r="AB9" s="17" t="e">
        <f t="shared" si="4"/>
        <v>#VALUE!</v>
      </c>
      <c r="AC9" s="21" t="e">
        <f t="shared" si="5"/>
        <v>#VALUE!</v>
      </c>
    </row>
    <row r="10" spans="1:29" s="23" customFormat="1" ht="24.75" customHeight="1" x14ac:dyDescent="0.25">
      <c r="A10" s="11" t="s">
        <v>35</v>
      </c>
      <c r="B10" s="12" t="s">
        <v>36</v>
      </c>
      <c r="C10" s="11" t="s">
        <v>35</v>
      </c>
      <c r="D10" s="13" t="s">
        <v>2</v>
      </c>
      <c r="E10" s="14" t="s">
        <v>2</v>
      </c>
      <c r="F10" s="15" t="s">
        <v>965</v>
      </c>
      <c r="G10" s="16" t="s">
        <v>11</v>
      </c>
      <c r="H10" s="17">
        <v>56455.21</v>
      </c>
      <c r="I10" s="17">
        <v>47046.01</v>
      </c>
      <c r="J10" s="17">
        <f t="shared" si="0"/>
        <v>36131.3344</v>
      </c>
      <c r="K10" s="17">
        <f t="shared" si="1"/>
        <v>42341.407500000001</v>
      </c>
      <c r="L10" s="18">
        <f t="shared" si="2"/>
        <v>-2697945369.8673</v>
      </c>
      <c r="M10" s="18">
        <f t="shared" si="2"/>
        <v>-2248287887.8712997</v>
      </c>
      <c r="N10" s="17" t="s">
        <v>9</v>
      </c>
      <c r="O10" s="19">
        <v>1</v>
      </c>
      <c r="P10" s="19">
        <v>1</v>
      </c>
      <c r="Q10" s="19">
        <v>1</v>
      </c>
      <c r="R10" s="11" t="s">
        <v>12</v>
      </c>
      <c r="S10" s="11" t="s">
        <v>21</v>
      </c>
      <c r="T10" s="20" t="s">
        <v>22</v>
      </c>
      <c r="U10" s="20"/>
      <c r="V10" s="16" t="s">
        <v>5</v>
      </c>
      <c r="W10" s="16" t="s">
        <v>6</v>
      </c>
      <c r="X10" s="16"/>
      <c r="Y10" s="21">
        <v>18</v>
      </c>
      <c r="Z10" s="22">
        <v>0.11222500000000001</v>
      </c>
      <c r="AA10" s="17" t="e">
        <f t="shared" si="3"/>
        <v>#VALUE!</v>
      </c>
      <c r="AB10" s="17" t="e">
        <f t="shared" si="4"/>
        <v>#VALUE!</v>
      </c>
      <c r="AC10" s="21" t="e">
        <f t="shared" si="5"/>
        <v>#VALUE!</v>
      </c>
    </row>
    <row r="11" spans="1:29" s="23" customFormat="1" ht="24.75" customHeight="1" x14ac:dyDescent="0.25">
      <c r="A11" s="11" t="s">
        <v>37</v>
      </c>
      <c r="B11" s="12" t="s">
        <v>38</v>
      </c>
      <c r="C11" s="11" t="s">
        <v>37</v>
      </c>
      <c r="D11" s="13" t="s">
        <v>2</v>
      </c>
      <c r="E11" s="14" t="s">
        <v>2</v>
      </c>
      <c r="F11" s="15" t="s">
        <v>965</v>
      </c>
      <c r="G11" s="16" t="s">
        <v>11</v>
      </c>
      <c r="H11" s="17">
        <v>60556.79</v>
      </c>
      <c r="I11" s="17">
        <v>50463.99</v>
      </c>
      <c r="J11" s="17">
        <f t="shared" si="0"/>
        <v>38756.345600000001</v>
      </c>
      <c r="K11" s="17">
        <f t="shared" si="1"/>
        <v>45417.592499999999</v>
      </c>
      <c r="L11" s="18">
        <f t="shared" si="2"/>
        <v>-2893956309.6926999</v>
      </c>
      <c r="M11" s="18">
        <f t="shared" si="2"/>
        <v>-2411630178.4287</v>
      </c>
      <c r="N11" s="17" t="s">
        <v>4</v>
      </c>
      <c r="O11" s="19">
        <v>1</v>
      </c>
      <c r="P11" s="19">
        <v>1</v>
      </c>
      <c r="Q11" s="19">
        <v>1</v>
      </c>
      <c r="R11" s="11" t="s">
        <v>12</v>
      </c>
      <c r="S11" s="11" t="s">
        <v>21</v>
      </c>
      <c r="T11" s="20" t="s">
        <v>22</v>
      </c>
      <c r="U11" s="20"/>
      <c r="V11" s="16" t="s">
        <v>5</v>
      </c>
      <c r="W11" s="16" t="s">
        <v>6</v>
      </c>
      <c r="X11" s="16"/>
      <c r="Y11" s="21">
        <v>22.5</v>
      </c>
      <c r="Z11" s="22">
        <v>0.14572499999999999</v>
      </c>
      <c r="AA11" s="17" t="e">
        <f t="shared" si="3"/>
        <v>#VALUE!</v>
      </c>
      <c r="AB11" s="17" t="e">
        <f t="shared" si="4"/>
        <v>#VALUE!</v>
      </c>
      <c r="AC11" s="21" t="e">
        <f t="shared" si="5"/>
        <v>#VALUE!</v>
      </c>
    </row>
    <row r="12" spans="1:29" s="23" customFormat="1" ht="24.75" customHeight="1" x14ac:dyDescent="0.25">
      <c r="A12" s="11" t="s">
        <v>39</v>
      </c>
      <c r="B12" s="12" t="s">
        <v>40</v>
      </c>
      <c r="C12" s="11" t="s">
        <v>39</v>
      </c>
      <c r="D12" s="13" t="s">
        <v>2</v>
      </c>
      <c r="E12" s="14" t="s">
        <v>2</v>
      </c>
      <c r="F12" s="15" t="s">
        <v>965</v>
      </c>
      <c r="G12" s="16" t="s">
        <v>11</v>
      </c>
      <c r="H12" s="17">
        <v>55612.26</v>
      </c>
      <c r="I12" s="17">
        <v>46343.55</v>
      </c>
      <c r="J12" s="17">
        <f t="shared" si="0"/>
        <v>35591.846400000002</v>
      </c>
      <c r="K12" s="17">
        <f t="shared" si="1"/>
        <v>41709.195</v>
      </c>
      <c r="L12" s="18">
        <f t="shared" si="2"/>
        <v>-2657661522.7337999</v>
      </c>
      <c r="M12" s="18">
        <f t="shared" si="2"/>
        <v>-2214717935.6114998</v>
      </c>
      <c r="N12" s="17" t="s">
        <v>4</v>
      </c>
      <c r="O12" s="19">
        <v>1</v>
      </c>
      <c r="P12" s="19">
        <v>1</v>
      </c>
      <c r="Q12" s="19">
        <v>1</v>
      </c>
      <c r="R12" s="11" t="s">
        <v>12</v>
      </c>
      <c r="S12" s="11" t="s">
        <v>21</v>
      </c>
      <c r="T12" s="20" t="s">
        <v>22</v>
      </c>
      <c r="U12" s="20"/>
      <c r="V12" s="16" t="s">
        <v>5</v>
      </c>
      <c r="W12" s="16" t="s">
        <v>6</v>
      </c>
      <c r="X12" s="16"/>
      <c r="Y12" s="21">
        <v>18</v>
      </c>
      <c r="Z12" s="22">
        <v>0.102225</v>
      </c>
      <c r="AA12" s="17" t="e">
        <f t="shared" si="3"/>
        <v>#VALUE!</v>
      </c>
      <c r="AB12" s="17" t="e">
        <f t="shared" si="4"/>
        <v>#VALUE!</v>
      </c>
      <c r="AC12" s="21" t="e">
        <f t="shared" si="5"/>
        <v>#VALUE!</v>
      </c>
    </row>
    <row r="13" spans="1:29" s="23" customFormat="1" ht="24.75" customHeight="1" x14ac:dyDescent="0.25">
      <c r="A13" s="11" t="s">
        <v>41</v>
      </c>
      <c r="B13" s="12" t="s">
        <v>42</v>
      </c>
      <c r="C13" s="11" t="s">
        <v>41</v>
      </c>
      <c r="D13" s="13" t="s">
        <v>2</v>
      </c>
      <c r="E13" s="14" t="s">
        <v>2</v>
      </c>
      <c r="F13" s="15" t="s">
        <v>965</v>
      </c>
      <c r="G13" s="16" t="s">
        <v>11</v>
      </c>
      <c r="H13" s="17">
        <v>60704.49</v>
      </c>
      <c r="I13" s="17">
        <v>50587.08</v>
      </c>
      <c r="J13" s="17">
        <f t="shared" si="0"/>
        <v>38850.873599999992</v>
      </c>
      <c r="K13" s="17">
        <f t="shared" si="1"/>
        <v>45528.3675</v>
      </c>
      <c r="L13" s="18">
        <f t="shared" si="2"/>
        <v>-2901014764.1936998</v>
      </c>
      <c r="M13" s="18">
        <f t="shared" si="2"/>
        <v>-2417512542.4404001</v>
      </c>
      <c r="N13" s="17" t="s">
        <v>4</v>
      </c>
      <c r="O13" s="19">
        <v>1</v>
      </c>
      <c r="P13" s="19">
        <v>1</v>
      </c>
      <c r="Q13" s="19">
        <v>1</v>
      </c>
      <c r="R13" s="11" t="s">
        <v>12</v>
      </c>
      <c r="S13" s="11" t="s">
        <v>21</v>
      </c>
      <c r="T13" s="20" t="s">
        <v>22</v>
      </c>
      <c r="U13" s="20"/>
      <c r="V13" s="16" t="s">
        <v>5</v>
      </c>
      <c r="W13" s="16" t="s">
        <v>6</v>
      </c>
      <c r="X13" s="16"/>
      <c r="Y13" s="21">
        <v>22.5</v>
      </c>
      <c r="Z13" s="22">
        <v>0.14572499999999999</v>
      </c>
      <c r="AA13" s="17" t="e">
        <f t="shared" si="3"/>
        <v>#VALUE!</v>
      </c>
      <c r="AB13" s="17" t="e">
        <f t="shared" si="4"/>
        <v>#VALUE!</v>
      </c>
      <c r="AC13" s="21" t="e">
        <f t="shared" si="5"/>
        <v>#VALUE!</v>
      </c>
    </row>
    <row r="14" spans="1:29" s="23" customFormat="1" ht="24.75" customHeight="1" x14ac:dyDescent="0.25">
      <c r="A14" s="11" t="s">
        <v>43</v>
      </c>
      <c r="B14" s="12" t="s">
        <v>44</v>
      </c>
      <c r="C14" s="11" t="s">
        <v>43</v>
      </c>
      <c r="D14" s="13" t="s">
        <v>2</v>
      </c>
      <c r="E14" s="14" t="s">
        <v>2</v>
      </c>
      <c r="F14" s="15" t="s">
        <v>965</v>
      </c>
      <c r="G14" s="16" t="s">
        <v>11</v>
      </c>
      <c r="H14" s="17">
        <v>65381.21</v>
      </c>
      <c r="I14" s="17">
        <v>54484.34</v>
      </c>
      <c r="J14" s="17">
        <f t="shared" si="0"/>
        <v>41843.974399999999</v>
      </c>
      <c r="K14" s="17">
        <f t="shared" si="1"/>
        <v>49035.907500000001</v>
      </c>
      <c r="L14" s="18">
        <f t="shared" si="2"/>
        <v>-3124511144.2472997</v>
      </c>
      <c r="M14" s="18">
        <f t="shared" si="2"/>
        <v>-2603759207.2241998</v>
      </c>
      <c r="N14" s="17" t="s">
        <v>4</v>
      </c>
      <c r="O14" s="19">
        <v>1</v>
      </c>
      <c r="P14" s="19">
        <v>1</v>
      </c>
      <c r="Q14" s="19">
        <v>1</v>
      </c>
      <c r="R14" s="11" t="s">
        <v>12</v>
      </c>
      <c r="S14" s="11" t="s">
        <v>21</v>
      </c>
      <c r="T14" s="20" t="s">
        <v>22</v>
      </c>
      <c r="U14" s="20"/>
      <c r="V14" s="16" t="s">
        <v>5</v>
      </c>
      <c r="W14" s="16" t="s">
        <v>6</v>
      </c>
      <c r="X14" s="16"/>
      <c r="Y14" s="21">
        <v>27</v>
      </c>
      <c r="Z14" s="22">
        <v>0.189225</v>
      </c>
      <c r="AA14" s="17" t="e">
        <f t="shared" si="3"/>
        <v>#VALUE!</v>
      </c>
      <c r="AB14" s="17" t="e">
        <f t="shared" si="4"/>
        <v>#VALUE!</v>
      </c>
      <c r="AC14" s="21" t="e">
        <f t="shared" si="5"/>
        <v>#VALUE!</v>
      </c>
    </row>
    <row r="15" spans="1:29" s="23" customFormat="1" ht="24.75" customHeight="1" x14ac:dyDescent="0.25">
      <c r="A15" s="11" t="s">
        <v>45</v>
      </c>
      <c r="B15" s="12" t="s">
        <v>46</v>
      </c>
      <c r="C15" s="11" t="s">
        <v>45</v>
      </c>
      <c r="D15" s="13" t="s">
        <v>2</v>
      </c>
      <c r="E15" s="14" t="s">
        <v>2</v>
      </c>
      <c r="F15" s="15" t="s">
        <v>965</v>
      </c>
      <c r="G15" s="16" t="s">
        <v>11</v>
      </c>
      <c r="H15" s="17">
        <v>15174.66</v>
      </c>
      <c r="I15" s="17">
        <v>12645.55</v>
      </c>
      <c r="J15" s="17">
        <f t="shared" si="0"/>
        <v>9711.7824000000001</v>
      </c>
      <c r="K15" s="17">
        <f t="shared" si="1"/>
        <v>11380.994999999999</v>
      </c>
      <c r="L15" s="18">
        <f t="shared" si="2"/>
        <v>-725183799.44579995</v>
      </c>
      <c r="M15" s="18">
        <f t="shared" si="2"/>
        <v>-604319832.8714999</v>
      </c>
      <c r="N15" s="17" t="s">
        <v>9</v>
      </c>
      <c r="O15" s="19">
        <v>1</v>
      </c>
      <c r="P15" s="19">
        <v>1</v>
      </c>
      <c r="Q15" s="19">
        <v>1</v>
      </c>
      <c r="R15" s="11" t="s">
        <v>12</v>
      </c>
      <c r="S15" s="11" t="s">
        <v>21</v>
      </c>
      <c r="T15" s="20" t="s">
        <v>47</v>
      </c>
      <c r="U15" s="20"/>
      <c r="V15" s="16" t="s">
        <v>5</v>
      </c>
      <c r="W15" s="16" t="s">
        <v>6</v>
      </c>
      <c r="X15" s="16"/>
      <c r="Y15" s="21">
        <v>13</v>
      </c>
      <c r="Z15" s="22">
        <v>3.211E-2</v>
      </c>
      <c r="AA15" s="17" t="e">
        <f t="shared" si="3"/>
        <v>#VALUE!</v>
      </c>
      <c r="AB15" s="17" t="e">
        <f t="shared" si="4"/>
        <v>#VALUE!</v>
      </c>
      <c r="AC15" s="21" t="e">
        <f t="shared" si="5"/>
        <v>#VALUE!</v>
      </c>
    </row>
    <row r="16" spans="1:29" s="23" customFormat="1" ht="24.75" customHeight="1" x14ac:dyDescent="0.25">
      <c r="A16" s="11" t="s">
        <v>48</v>
      </c>
      <c r="B16" s="12" t="s">
        <v>49</v>
      </c>
      <c r="C16" s="11" t="s">
        <v>48</v>
      </c>
      <c r="D16" s="13" t="s">
        <v>2</v>
      </c>
      <c r="E16" s="14" t="s">
        <v>2</v>
      </c>
      <c r="F16" s="15" t="s">
        <v>965</v>
      </c>
      <c r="G16" s="16" t="s">
        <v>11</v>
      </c>
      <c r="H16" s="17">
        <v>17109.12</v>
      </c>
      <c r="I16" s="17">
        <v>14257.6</v>
      </c>
      <c r="J16" s="17">
        <f t="shared" si="0"/>
        <v>10949.836799999999</v>
      </c>
      <c r="K16" s="17">
        <f t="shared" si="1"/>
        <v>12831.84</v>
      </c>
      <c r="L16" s="18">
        <f t="shared" si="2"/>
        <v>-817629959.86559987</v>
      </c>
      <c r="M16" s="18">
        <f t="shared" si="2"/>
        <v>-681358299.88800001</v>
      </c>
      <c r="N16" s="17" t="s">
        <v>4</v>
      </c>
      <c r="O16" s="19">
        <v>1</v>
      </c>
      <c r="P16" s="19">
        <v>1</v>
      </c>
      <c r="Q16" s="19">
        <v>1</v>
      </c>
      <c r="R16" s="11" t="s">
        <v>12</v>
      </c>
      <c r="S16" s="11" t="s">
        <v>21</v>
      </c>
      <c r="T16" s="20" t="s">
        <v>47</v>
      </c>
      <c r="U16" s="20"/>
      <c r="V16" s="16" t="s">
        <v>5</v>
      </c>
      <c r="W16" s="16" t="s">
        <v>6</v>
      </c>
      <c r="X16" s="16"/>
      <c r="Y16" s="21">
        <v>14</v>
      </c>
      <c r="Z16" s="22">
        <v>3.5490000000000001E-2</v>
      </c>
      <c r="AA16" s="17" t="e">
        <f t="shared" si="3"/>
        <v>#VALUE!</v>
      </c>
      <c r="AB16" s="17" t="e">
        <f t="shared" si="4"/>
        <v>#VALUE!</v>
      </c>
      <c r="AC16" s="21" t="e">
        <f t="shared" si="5"/>
        <v>#VALUE!</v>
      </c>
    </row>
    <row r="17" spans="1:29" s="23" customFormat="1" ht="24.75" customHeight="1" x14ac:dyDescent="0.25">
      <c r="A17" s="11" t="s">
        <v>50</v>
      </c>
      <c r="B17" s="12" t="s">
        <v>51</v>
      </c>
      <c r="C17" s="11" t="s">
        <v>50</v>
      </c>
      <c r="D17" s="13" t="s">
        <v>2</v>
      </c>
      <c r="E17" s="14" t="s">
        <v>2</v>
      </c>
      <c r="F17" s="15" t="s">
        <v>965</v>
      </c>
      <c r="G17" s="16" t="s">
        <v>11</v>
      </c>
      <c r="H17" s="17">
        <v>18802.560000000001</v>
      </c>
      <c r="I17" s="17">
        <v>15668.8</v>
      </c>
      <c r="J17" s="17">
        <f t="shared" si="0"/>
        <v>12033.6384</v>
      </c>
      <c r="K17" s="17">
        <f t="shared" si="1"/>
        <v>14101.920000000002</v>
      </c>
      <c r="L17" s="18">
        <f t="shared" si="2"/>
        <v>-898557984.17280006</v>
      </c>
      <c r="M17" s="18">
        <f t="shared" si="2"/>
        <v>-748798320.14399993</v>
      </c>
      <c r="N17" s="17" t="s">
        <v>4</v>
      </c>
      <c r="O17" s="19">
        <v>1</v>
      </c>
      <c r="P17" s="19">
        <v>1</v>
      </c>
      <c r="Q17" s="19">
        <v>1</v>
      </c>
      <c r="R17" s="11" t="s">
        <v>12</v>
      </c>
      <c r="S17" s="11" t="s">
        <v>21</v>
      </c>
      <c r="T17" s="20" t="s">
        <v>47</v>
      </c>
      <c r="U17" s="20"/>
      <c r="V17" s="16" t="s">
        <v>5</v>
      </c>
      <c r="W17" s="16" t="s">
        <v>6</v>
      </c>
      <c r="X17" s="16"/>
      <c r="Y17" s="21">
        <v>16</v>
      </c>
      <c r="Z17" s="22">
        <v>3.8870000000000002E-2</v>
      </c>
      <c r="AA17" s="17" t="e">
        <f t="shared" si="3"/>
        <v>#VALUE!</v>
      </c>
      <c r="AB17" s="17" t="e">
        <f t="shared" si="4"/>
        <v>#VALUE!</v>
      </c>
      <c r="AC17" s="21" t="e">
        <f t="shared" si="5"/>
        <v>#VALUE!</v>
      </c>
    </row>
    <row r="18" spans="1:29" s="23" customFormat="1" ht="24.75" customHeight="1" x14ac:dyDescent="0.25">
      <c r="A18" s="11" t="s">
        <v>52</v>
      </c>
      <c r="B18" s="12" t="s">
        <v>53</v>
      </c>
      <c r="C18" s="11" t="s">
        <v>52</v>
      </c>
      <c r="D18" s="13" t="s">
        <v>2</v>
      </c>
      <c r="E18" s="14" t="s">
        <v>2</v>
      </c>
      <c r="F18" s="15" t="s">
        <v>965</v>
      </c>
      <c r="G18" s="16" t="s">
        <v>11</v>
      </c>
      <c r="H18" s="17">
        <v>13428.98</v>
      </c>
      <c r="I18" s="17">
        <v>11190.82</v>
      </c>
      <c r="J18" s="17">
        <f t="shared" si="0"/>
        <v>8594.5472000000009</v>
      </c>
      <c r="K18" s="17">
        <f t="shared" si="1"/>
        <v>10071.735000000001</v>
      </c>
      <c r="L18" s="18">
        <f t="shared" si="2"/>
        <v>-641759270.98739994</v>
      </c>
      <c r="M18" s="18">
        <f t="shared" si="2"/>
        <v>-534799551.78659993</v>
      </c>
      <c r="N18" s="17" t="s">
        <v>9</v>
      </c>
      <c r="O18" s="19">
        <v>1</v>
      </c>
      <c r="P18" s="19">
        <v>1</v>
      </c>
      <c r="Q18" s="19">
        <v>1</v>
      </c>
      <c r="R18" s="11" t="s">
        <v>12</v>
      </c>
      <c r="S18" s="11" t="s">
        <v>21</v>
      </c>
      <c r="T18" s="20" t="s">
        <v>54</v>
      </c>
      <c r="U18" s="20"/>
      <c r="V18" s="16" t="s">
        <v>5</v>
      </c>
      <c r="W18" s="16" t="s">
        <v>6</v>
      </c>
      <c r="X18" s="16"/>
      <c r="Y18" s="21">
        <v>16</v>
      </c>
      <c r="Z18" s="22">
        <v>6.88E-2</v>
      </c>
      <c r="AA18" s="17" t="e">
        <f t="shared" si="3"/>
        <v>#VALUE!</v>
      </c>
      <c r="AB18" s="17" t="e">
        <f t="shared" si="4"/>
        <v>#VALUE!</v>
      </c>
      <c r="AC18" s="21" t="e">
        <f t="shared" si="5"/>
        <v>#VALUE!</v>
      </c>
    </row>
    <row r="19" spans="1:29" s="23" customFormat="1" ht="24.75" customHeight="1" x14ac:dyDescent="0.25">
      <c r="A19" s="11" t="s">
        <v>55</v>
      </c>
      <c r="B19" s="12" t="s">
        <v>56</v>
      </c>
      <c r="C19" s="11" t="s">
        <v>55</v>
      </c>
      <c r="D19" s="13" t="s">
        <v>2</v>
      </c>
      <c r="E19" s="14" t="s">
        <v>2</v>
      </c>
      <c r="F19" s="15" t="s">
        <v>965</v>
      </c>
      <c r="G19" s="16" t="s">
        <v>11</v>
      </c>
      <c r="H19" s="17">
        <v>19167.23</v>
      </c>
      <c r="I19" s="17">
        <v>15972.69</v>
      </c>
      <c r="J19" s="17">
        <f t="shared" si="0"/>
        <v>12267.0272</v>
      </c>
      <c r="K19" s="17">
        <f t="shared" si="1"/>
        <v>14375.422500000001</v>
      </c>
      <c r="L19" s="18">
        <f t="shared" si="2"/>
        <v>-915985246.2098999</v>
      </c>
      <c r="M19" s="18">
        <f t="shared" si="2"/>
        <v>-763320958.85969996</v>
      </c>
      <c r="N19" s="17" t="s">
        <v>9</v>
      </c>
      <c r="O19" s="19">
        <v>1</v>
      </c>
      <c r="P19" s="19">
        <v>1</v>
      </c>
      <c r="Q19" s="19">
        <v>1</v>
      </c>
      <c r="R19" s="11" t="s">
        <v>12</v>
      </c>
      <c r="S19" s="11" t="s">
        <v>21</v>
      </c>
      <c r="T19" s="20" t="s">
        <v>54</v>
      </c>
      <c r="U19" s="20"/>
      <c r="V19" s="16" t="s">
        <v>5</v>
      </c>
      <c r="W19" s="16" t="s">
        <v>6</v>
      </c>
      <c r="X19" s="16"/>
      <c r="Y19" s="21">
        <v>22</v>
      </c>
      <c r="Z19" s="22">
        <v>0.1008</v>
      </c>
      <c r="AA19" s="17" t="e">
        <f t="shared" si="3"/>
        <v>#VALUE!</v>
      </c>
      <c r="AB19" s="17" t="e">
        <f t="shared" si="4"/>
        <v>#VALUE!</v>
      </c>
      <c r="AC19" s="21" t="e">
        <f t="shared" si="5"/>
        <v>#VALUE!</v>
      </c>
    </row>
    <row r="20" spans="1:29" s="23" customFormat="1" ht="24.75" customHeight="1" x14ac:dyDescent="0.25">
      <c r="A20" s="11" t="s">
        <v>57</v>
      </c>
      <c r="B20" s="12" t="s">
        <v>58</v>
      </c>
      <c r="C20" s="11" t="s">
        <v>57</v>
      </c>
      <c r="D20" s="13" t="s">
        <v>2</v>
      </c>
      <c r="E20" s="14" t="s">
        <v>2</v>
      </c>
      <c r="F20" s="15" t="s">
        <v>965</v>
      </c>
      <c r="G20" s="16" t="s">
        <v>11</v>
      </c>
      <c r="H20" s="17">
        <v>24611.64</v>
      </c>
      <c r="I20" s="17">
        <v>20509.7</v>
      </c>
      <c r="J20" s="17">
        <f t="shared" si="0"/>
        <v>15751.4496</v>
      </c>
      <c r="K20" s="17">
        <f t="shared" si="1"/>
        <v>18458.73</v>
      </c>
      <c r="L20" s="18">
        <f t="shared" si="2"/>
        <v>-1176168863.4731998</v>
      </c>
      <c r="M20" s="18">
        <f t="shared" si="2"/>
        <v>-980140719.56099999</v>
      </c>
      <c r="N20" s="17" t="s">
        <v>4</v>
      </c>
      <c r="O20" s="19">
        <v>1</v>
      </c>
      <c r="P20" s="19">
        <v>1</v>
      </c>
      <c r="Q20" s="19">
        <v>1</v>
      </c>
      <c r="R20" s="11" t="s">
        <v>12</v>
      </c>
      <c r="S20" s="11" t="s">
        <v>21</v>
      </c>
      <c r="T20" s="20" t="s">
        <v>54</v>
      </c>
      <c r="U20" s="20"/>
      <c r="V20" s="16" t="s">
        <v>5</v>
      </c>
      <c r="W20" s="16" t="s">
        <v>6</v>
      </c>
      <c r="X20" s="16"/>
      <c r="Y20" s="21">
        <v>28</v>
      </c>
      <c r="Z20" s="22">
        <v>0.1328</v>
      </c>
      <c r="AA20" s="17" t="e">
        <f t="shared" si="3"/>
        <v>#VALUE!</v>
      </c>
      <c r="AB20" s="17" t="e">
        <f t="shared" si="4"/>
        <v>#VALUE!</v>
      </c>
      <c r="AC20" s="21" t="e">
        <f t="shared" si="5"/>
        <v>#VALUE!</v>
      </c>
    </row>
    <row r="21" spans="1:29" s="23" customFormat="1" ht="24.75" customHeight="1" x14ac:dyDescent="0.25">
      <c r="A21" s="11" t="s">
        <v>59</v>
      </c>
      <c r="B21" s="12" t="s">
        <v>60</v>
      </c>
      <c r="C21" s="11" t="s">
        <v>59</v>
      </c>
      <c r="D21" s="13" t="s">
        <v>2</v>
      </c>
      <c r="E21" s="14" t="s">
        <v>2</v>
      </c>
      <c r="F21" s="15" t="s">
        <v>965</v>
      </c>
      <c r="G21" s="16" t="s">
        <v>11</v>
      </c>
      <c r="H21" s="17">
        <v>14796.9</v>
      </c>
      <c r="I21" s="17">
        <v>12330.75</v>
      </c>
      <c r="J21" s="17">
        <f t="shared" si="0"/>
        <v>9470.0159999999996</v>
      </c>
      <c r="K21" s="17">
        <f t="shared" si="1"/>
        <v>11097.674999999999</v>
      </c>
      <c r="L21" s="18">
        <f t="shared" si="2"/>
        <v>-707130977.69699991</v>
      </c>
      <c r="M21" s="18">
        <f t="shared" si="2"/>
        <v>-589275814.74749994</v>
      </c>
      <c r="N21" s="17" t="s">
        <v>4</v>
      </c>
      <c r="O21" s="19">
        <v>1</v>
      </c>
      <c r="P21" s="19">
        <v>1</v>
      </c>
      <c r="Q21" s="19">
        <v>1</v>
      </c>
      <c r="R21" s="11" t="s">
        <v>12</v>
      </c>
      <c r="S21" s="11" t="s">
        <v>21</v>
      </c>
      <c r="T21" s="20" t="s">
        <v>54</v>
      </c>
      <c r="U21" s="20"/>
      <c r="V21" s="16" t="s">
        <v>5</v>
      </c>
      <c r="W21" s="16" t="s">
        <v>6</v>
      </c>
      <c r="X21" s="16"/>
      <c r="Y21" s="21">
        <v>17</v>
      </c>
      <c r="Z21" s="22">
        <v>7.2239999999999999E-2</v>
      </c>
      <c r="AA21" s="17" t="e">
        <f t="shared" si="3"/>
        <v>#VALUE!</v>
      </c>
      <c r="AB21" s="17" t="e">
        <f t="shared" si="4"/>
        <v>#VALUE!</v>
      </c>
      <c r="AC21" s="21" t="e">
        <f t="shared" si="5"/>
        <v>#VALUE!</v>
      </c>
    </row>
    <row r="22" spans="1:29" s="23" customFormat="1" ht="24.75" customHeight="1" x14ac:dyDescent="0.25">
      <c r="A22" s="11" t="s">
        <v>61</v>
      </c>
      <c r="B22" s="12" t="s">
        <v>62</v>
      </c>
      <c r="C22" s="11" t="s">
        <v>61</v>
      </c>
      <c r="D22" s="13" t="s">
        <v>2</v>
      </c>
      <c r="E22" s="14" t="s">
        <v>2</v>
      </c>
      <c r="F22" s="15" t="s">
        <v>965</v>
      </c>
      <c r="G22" s="16" t="s">
        <v>11</v>
      </c>
      <c r="H22" s="17">
        <v>21143.54</v>
      </c>
      <c r="I22" s="17">
        <v>17619.62</v>
      </c>
      <c r="J22" s="17">
        <f t="shared" si="0"/>
        <v>13531.865600000001</v>
      </c>
      <c r="K22" s="17">
        <f t="shared" si="1"/>
        <v>15857.655000000001</v>
      </c>
      <c r="L22" s="18">
        <f t="shared" si="2"/>
        <v>-1010431381.7201999</v>
      </c>
      <c r="M22" s="18">
        <f t="shared" si="2"/>
        <v>-842026310.73059988</v>
      </c>
      <c r="N22" s="17" t="s">
        <v>9</v>
      </c>
      <c r="O22" s="19">
        <v>1</v>
      </c>
      <c r="P22" s="19">
        <v>1</v>
      </c>
      <c r="Q22" s="19">
        <v>1</v>
      </c>
      <c r="R22" s="11" t="s">
        <v>12</v>
      </c>
      <c r="S22" s="11" t="s">
        <v>21</v>
      </c>
      <c r="T22" s="20" t="s">
        <v>54</v>
      </c>
      <c r="U22" s="20"/>
      <c r="V22" s="16" t="s">
        <v>5</v>
      </c>
      <c r="W22" s="16" t="s">
        <v>6</v>
      </c>
      <c r="X22" s="16"/>
      <c r="Y22" s="21">
        <v>24</v>
      </c>
      <c r="Z22" s="22">
        <v>0.10584</v>
      </c>
      <c r="AA22" s="17" t="e">
        <f t="shared" si="3"/>
        <v>#VALUE!</v>
      </c>
      <c r="AB22" s="17" t="e">
        <f t="shared" si="4"/>
        <v>#VALUE!</v>
      </c>
      <c r="AC22" s="21" t="e">
        <f t="shared" si="5"/>
        <v>#VALUE!</v>
      </c>
    </row>
    <row r="23" spans="1:29" s="23" customFormat="1" ht="24.75" customHeight="1" x14ac:dyDescent="0.25">
      <c r="A23" s="11" t="s">
        <v>63</v>
      </c>
      <c r="B23" s="12" t="s">
        <v>64</v>
      </c>
      <c r="C23" s="11" t="s">
        <v>63</v>
      </c>
      <c r="D23" s="13" t="s">
        <v>2</v>
      </c>
      <c r="E23" s="14" t="s">
        <v>2</v>
      </c>
      <c r="F23" s="15" t="s">
        <v>965</v>
      </c>
      <c r="G23" s="16" t="s">
        <v>11</v>
      </c>
      <c r="H23" s="17">
        <v>27170.3</v>
      </c>
      <c r="I23" s="17">
        <v>22641.919999999998</v>
      </c>
      <c r="J23" s="17">
        <f t="shared" si="0"/>
        <v>17388.991999999998</v>
      </c>
      <c r="K23" s="17">
        <f t="shared" si="1"/>
        <v>20377.724999999999</v>
      </c>
      <c r="L23" s="18">
        <f t="shared" si="2"/>
        <v>-1298444998.839</v>
      </c>
      <c r="M23" s="18">
        <f t="shared" si="2"/>
        <v>-1082037658.3295999</v>
      </c>
      <c r="N23" s="17" t="s">
        <v>9</v>
      </c>
      <c r="O23" s="19">
        <v>1</v>
      </c>
      <c r="P23" s="19">
        <v>1</v>
      </c>
      <c r="Q23" s="19">
        <v>1</v>
      </c>
      <c r="R23" s="11" t="s">
        <v>12</v>
      </c>
      <c r="S23" s="11" t="s">
        <v>21</v>
      </c>
      <c r="T23" s="20" t="s">
        <v>54</v>
      </c>
      <c r="U23" s="20"/>
      <c r="V23" s="16" t="s">
        <v>5</v>
      </c>
      <c r="W23" s="16" t="s">
        <v>6</v>
      </c>
      <c r="X23" s="16"/>
      <c r="Y23" s="21">
        <v>31</v>
      </c>
      <c r="Z23" s="22">
        <v>0.13944000000000001</v>
      </c>
      <c r="AA23" s="17" t="e">
        <f t="shared" si="3"/>
        <v>#VALUE!</v>
      </c>
      <c r="AB23" s="17" t="e">
        <f t="shared" si="4"/>
        <v>#VALUE!</v>
      </c>
      <c r="AC23" s="21" t="e">
        <f t="shared" si="5"/>
        <v>#VALUE!</v>
      </c>
    </row>
    <row r="24" spans="1:29" s="23" customFormat="1" ht="24.75" customHeight="1" x14ac:dyDescent="0.25">
      <c r="A24" s="11" t="s">
        <v>65</v>
      </c>
      <c r="B24" s="12" t="s">
        <v>66</v>
      </c>
      <c r="C24" s="11" t="s">
        <v>65</v>
      </c>
      <c r="D24" s="13" t="s">
        <v>2</v>
      </c>
      <c r="E24" s="14" t="s">
        <v>2</v>
      </c>
      <c r="F24" s="15" t="s">
        <v>965</v>
      </c>
      <c r="G24" s="16" t="s">
        <v>11</v>
      </c>
      <c r="H24" s="17">
        <v>16169.84</v>
      </c>
      <c r="I24" s="17">
        <v>13474.87</v>
      </c>
      <c r="J24" s="17">
        <f t="shared" si="0"/>
        <v>10348.6976</v>
      </c>
      <c r="K24" s="17">
        <f t="shared" si="1"/>
        <v>12127.380000000001</v>
      </c>
      <c r="L24" s="18">
        <f t="shared" si="2"/>
        <v>-772742585.83920002</v>
      </c>
      <c r="M24" s="18">
        <f t="shared" si="2"/>
        <v>-643952314.1631</v>
      </c>
      <c r="N24" s="17" t="s">
        <v>4</v>
      </c>
      <c r="O24" s="19">
        <v>1</v>
      </c>
      <c r="P24" s="19">
        <v>1</v>
      </c>
      <c r="Q24" s="19">
        <v>1</v>
      </c>
      <c r="R24" s="11" t="s">
        <v>12</v>
      </c>
      <c r="S24" s="11" t="s">
        <v>21</v>
      </c>
      <c r="T24" s="20" t="s">
        <v>54</v>
      </c>
      <c r="U24" s="20"/>
      <c r="V24" s="16" t="s">
        <v>7</v>
      </c>
      <c r="W24" s="16" t="s">
        <v>6</v>
      </c>
      <c r="X24" s="16"/>
      <c r="Y24" s="21">
        <v>19.5</v>
      </c>
      <c r="Z24" s="22">
        <v>7.9119999999999996E-2</v>
      </c>
      <c r="AA24" s="17" t="e">
        <f t="shared" si="3"/>
        <v>#VALUE!</v>
      </c>
      <c r="AB24" s="17" t="e">
        <f t="shared" si="4"/>
        <v>#VALUE!</v>
      </c>
      <c r="AC24" s="21" t="e">
        <f t="shared" si="5"/>
        <v>#VALUE!</v>
      </c>
    </row>
    <row r="25" spans="1:29" s="23" customFormat="1" ht="24.75" customHeight="1" x14ac:dyDescent="0.25">
      <c r="A25" s="11" t="s">
        <v>67</v>
      </c>
      <c r="B25" s="12" t="s">
        <v>68</v>
      </c>
      <c r="C25" s="11" t="s">
        <v>67</v>
      </c>
      <c r="D25" s="13" t="s">
        <v>2</v>
      </c>
      <c r="E25" s="14" t="s">
        <v>2</v>
      </c>
      <c r="F25" s="15" t="s">
        <v>965</v>
      </c>
      <c r="G25" s="16" t="s">
        <v>11</v>
      </c>
      <c r="H25" s="17">
        <v>23106.36</v>
      </c>
      <c r="I25" s="17">
        <v>19255.3</v>
      </c>
      <c r="J25" s="17">
        <f t="shared" si="0"/>
        <v>14788.070400000001</v>
      </c>
      <c r="K25" s="17">
        <f t="shared" si="1"/>
        <v>17329.77</v>
      </c>
      <c r="L25" s="18">
        <f t="shared" si="2"/>
        <v>-1104232841.8668001</v>
      </c>
      <c r="M25" s="18">
        <f t="shared" si="2"/>
        <v>-920194034.88899994</v>
      </c>
      <c r="N25" s="17" t="s">
        <v>4</v>
      </c>
      <c r="O25" s="19">
        <v>1</v>
      </c>
      <c r="P25" s="19">
        <v>1</v>
      </c>
      <c r="Q25" s="19">
        <v>1</v>
      </c>
      <c r="R25" s="11" t="s">
        <v>12</v>
      </c>
      <c r="S25" s="11" t="s">
        <v>21</v>
      </c>
      <c r="T25" s="20" t="s">
        <v>54</v>
      </c>
      <c r="U25" s="20"/>
      <c r="V25" s="16" t="s">
        <v>7</v>
      </c>
      <c r="W25" s="16" t="s">
        <v>6</v>
      </c>
      <c r="X25" s="16"/>
      <c r="Y25" s="21">
        <v>26.5</v>
      </c>
      <c r="Z25" s="22">
        <v>0.11592</v>
      </c>
      <c r="AA25" s="17" t="e">
        <f t="shared" si="3"/>
        <v>#VALUE!</v>
      </c>
      <c r="AB25" s="17" t="e">
        <f t="shared" si="4"/>
        <v>#VALUE!</v>
      </c>
      <c r="AC25" s="21" t="e">
        <f t="shared" si="5"/>
        <v>#VALUE!</v>
      </c>
    </row>
    <row r="26" spans="1:29" s="23" customFormat="1" ht="24.75" customHeight="1" x14ac:dyDescent="0.25">
      <c r="A26" s="11" t="s">
        <v>69</v>
      </c>
      <c r="B26" s="12" t="s">
        <v>70</v>
      </c>
      <c r="C26" s="11" t="s">
        <v>69</v>
      </c>
      <c r="D26" s="13" t="s">
        <v>2</v>
      </c>
      <c r="E26" s="14" t="s">
        <v>2</v>
      </c>
      <c r="F26" s="15" t="s">
        <v>965</v>
      </c>
      <c r="G26" s="16" t="s">
        <v>11</v>
      </c>
      <c r="H26" s="17">
        <v>29819.599999999999</v>
      </c>
      <c r="I26" s="17">
        <v>24849.67</v>
      </c>
      <c r="J26" s="17">
        <f t="shared" si="0"/>
        <v>19084.544000000002</v>
      </c>
      <c r="K26" s="17">
        <f t="shared" si="1"/>
        <v>22364.699999999997</v>
      </c>
      <c r="L26" s="18">
        <f t="shared" si="2"/>
        <v>-1425052740.948</v>
      </c>
      <c r="M26" s="18">
        <f t="shared" si="2"/>
        <v>-1187544110.0870998</v>
      </c>
      <c r="N26" s="17" t="s">
        <v>4</v>
      </c>
      <c r="O26" s="19">
        <v>1</v>
      </c>
      <c r="P26" s="19">
        <v>1</v>
      </c>
      <c r="Q26" s="19">
        <v>1</v>
      </c>
      <c r="R26" s="11" t="s">
        <v>12</v>
      </c>
      <c r="S26" s="11" t="s">
        <v>21</v>
      </c>
      <c r="T26" s="20" t="s">
        <v>54</v>
      </c>
      <c r="U26" s="20"/>
      <c r="V26" s="16" t="s">
        <v>7</v>
      </c>
      <c r="W26" s="16" t="s">
        <v>6</v>
      </c>
      <c r="X26" s="16"/>
      <c r="Y26" s="21">
        <v>34</v>
      </c>
      <c r="Z26" s="22">
        <v>0.15271999999999999</v>
      </c>
      <c r="AA26" s="17" t="e">
        <f t="shared" si="3"/>
        <v>#VALUE!</v>
      </c>
      <c r="AB26" s="17" t="e">
        <f t="shared" si="4"/>
        <v>#VALUE!</v>
      </c>
      <c r="AC26" s="21" t="e">
        <f t="shared" si="5"/>
        <v>#VALUE!</v>
      </c>
    </row>
    <row r="27" spans="1:29" s="23" customFormat="1" ht="24.75" customHeight="1" x14ac:dyDescent="0.25">
      <c r="A27" s="11" t="s">
        <v>71</v>
      </c>
      <c r="B27" s="12" t="s">
        <v>72</v>
      </c>
      <c r="C27" s="11" t="s">
        <v>71</v>
      </c>
      <c r="D27" s="13" t="s">
        <v>2</v>
      </c>
      <c r="E27" s="14" t="s">
        <v>2</v>
      </c>
      <c r="F27" s="15" t="s">
        <v>965</v>
      </c>
      <c r="G27" s="16" t="s">
        <v>11</v>
      </c>
      <c r="H27" s="17">
        <v>6160.81</v>
      </c>
      <c r="I27" s="17">
        <v>5134.01</v>
      </c>
      <c r="J27" s="17">
        <f t="shared" si="0"/>
        <v>3942.9184000000005</v>
      </c>
      <c r="K27" s="17">
        <f t="shared" si="1"/>
        <v>4620.6075000000001</v>
      </c>
      <c r="L27" s="18">
        <f t="shared" si="2"/>
        <v>-294419749.99529999</v>
      </c>
      <c r="M27" s="18">
        <f t="shared" si="2"/>
        <v>-245349871.31130001</v>
      </c>
      <c r="N27" s="17" t="s">
        <v>4</v>
      </c>
      <c r="O27" s="19">
        <v>1</v>
      </c>
      <c r="P27" s="19">
        <v>1</v>
      </c>
      <c r="Q27" s="19">
        <v>1</v>
      </c>
      <c r="R27" s="11" t="s">
        <v>12</v>
      </c>
      <c r="S27" s="11" t="s">
        <v>21</v>
      </c>
      <c r="T27" s="20" t="s">
        <v>54</v>
      </c>
      <c r="U27" s="20"/>
      <c r="V27" s="16" t="s">
        <v>7</v>
      </c>
      <c r="W27" s="16" t="s">
        <v>6</v>
      </c>
      <c r="X27" s="16"/>
      <c r="Y27" s="21">
        <v>7</v>
      </c>
      <c r="Z27" s="22">
        <v>5.28E-2</v>
      </c>
      <c r="AA27" s="17" t="e">
        <f t="shared" si="3"/>
        <v>#VALUE!</v>
      </c>
      <c r="AB27" s="17" t="e">
        <f t="shared" si="4"/>
        <v>#VALUE!</v>
      </c>
      <c r="AC27" s="21" t="e">
        <f t="shared" si="5"/>
        <v>#VALUE!</v>
      </c>
    </row>
    <row r="28" spans="1:29" s="23" customFormat="1" ht="24.75" customHeight="1" x14ac:dyDescent="0.25">
      <c r="A28" s="11" t="s">
        <v>73</v>
      </c>
      <c r="B28" s="12" t="s">
        <v>74</v>
      </c>
      <c r="C28" s="11" t="s">
        <v>73</v>
      </c>
      <c r="D28" s="13" t="s">
        <v>2</v>
      </c>
      <c r="E28" s="14" t="s">
        <v>2</v>
      </c>
      <c r="F28" s="15" t="s">
        <v>965</v>
      </c>
      <c r="G28" s="16" t="s">
        <v>11</v>
      </c>
      <c r="H28" s="17">
        <v>7704.26</v>
      </c>
      <c r="I28" s="17">
        <v>6420.22</v>
      </c>
      <c r="J28" s="17">
        <f t="shared" si="0"/>
        <v>4930.7264000000005</v>
      </c>
      <c r="K28" s="17">
        <f t="shared" si="1"/>
        <v>5778.1949999999997</v>
      </c>
      <c r="L28" s="18">
        <f t="shared" si="2"/>
        <v>-368179882.69379997</v>
      </c>
      <c r="M28" s="18">
        <f t="shared" si="2"/>
        <v>-306816728.20859998</v>
      </c>
      <c r="N28" s="17" t="s">
        <v>9</v>
      </c>
      <c r="O28" s="19">
        <v>1</v>
      </c>
      <c r="P28" s="19">
        <v>1</v>
      </c>
      <c r="Q28" s="19">
        <v>1</v>
      </c>
      <c r="R28" s="11" t="s">
        <v>12</v>
      </c>
      <c r="S28" s="11" t="s">
        <v>21</v>
      </c>
      <c r="T28" s="20" t="s">
        <v>54</v>
      </c>
      <c r="U28" s="20"/>
      <c r="V28" s="16" t="s">
        <v>5</v>
      </c>
      <c r="W28" s="16" t="s">
        <v>6</v>
      </c>
      <c r="X28" s="16"/>
      <c r="Y28" s="21">
        <v>9</v>
      </c>
      <c r="Z28" s="22">
        <v>6.88E-2</v>
      </c>
      <c r="AA28" s="17" t="e">
        <f t="shared" si="3"/>
        <v>#VALUE!</v>
      </c>
      <c r="AB28" s="17" t="e">
        <f t="shared" si="4"/>
        <v>#VALUE!</v>
      </c>
      <c r="AC28" s="21" t="e">
        <f t="shared" si="5"/>
        <v>#VALUE!</v>
      </c>
    </row>
    <row r="29" spans="1:29" s="23" customFormat="1" ht="24.75" customHeight="1" x14ac:dyDescent="0.25">
      <c r="A29" s="11" t="s">
        <v>75</v>
      </c>
      <c r="B29" s="12" t="s">
        <v>76</v>
      </c>
      <c r="C29" s="11" t="s">
        <v>75</v>
      </c>
      <c r="D29" s="13" t="s">
        <v>2</v>
      </c>
      <c r="E29" s="14" t="s">
        <v>2</v>
      </c>
      <c r="F29" s="15" t="s">
        <v>965</v>
      </c>
      <c r="G29" s="16" t="s">
        <v>11</v>
      </c>
      <c r="H29" s="17">
        <v>10829.48</v>
      </c>
      <c r="I29" s="17">
        <v>9024.57</v>
      </c>
      <c r="J29" s="17">
        <f t="shared" si="0"/>
        <v>6930.8671999999997</v>
      </c>
      <c r="K29" s="17">
        <f t="shared" si="1"/>
        <v>8122.11</v>
      </c>
      <c r="L29" s="18">
        <f t="shared" si="2"/>
        <v>-517531427.55239993</v>
      </c>
      <c r="M29" s="18">
        <f t="shared" si="2"/>
        <v>-431276348.92409998</v>
      </c>
      <c r="N29" s="17" t="s">
        <v>4</v>
      </c>
      <c r="O29" s="19">
        <v>1</v>
      </c>
      <c r="P29" s="19">
        <v>1</v>
      </c>
      <c r="Q29" s="19">
        <v>1</v>
      </c>
      <c r="R29" s="11" t="s">
        <v>12</v>
      </c>
      <c r="S29" s="11" t="s">
        <v>21</v>
      </c>
      <c r="T29" s="20" t="s">
        <v>54</v>
      </c>
      <c r="U29" s="20"/>
      <c r="V29" s="16" t="s">
        <v>5</v>
      </c>
      <c r="W29" s="16" t="s">
        <v>6</v>
      </c>
      <c r="X29" s="16"/>
      <c r="Y29" s="21">
        <v>12</v>
      </c>
      <c r="Z29" s="22">
        <v>0.1008</v>
      </c>
      <c r="AA29" s="17" t="e">
        <f t="shared" si="3"/>
        <v>#VALUE!</v>
      </c>
      <c r="AB29" s="17" t="e">
        <f t="shared" si="4"/>
        <v>#VALUE!</v>
      </c>
      <c r="AC29" s="21" t="e">
        <f t="shared" si="5"/>
        <v>#VALUE!</v>
      </c>
    </row>
    <row r="30" spans="1:29" s="23" customFormat="1" ht="24.75" customHeight="1" x14ac:dyDescent="0.25">
      <c r="A30" s="11" t="s">
        <v>77</v>
      </c>
      <c r="B30" s="12" t="s">
        <v>78</v>
      </c>
      <c r="C30" s="11" t="s">
        <v>77</v>
      </c>
      <c r="D30" s="13" t="s">
        <v>2</v>
      </c>
      <c r="E30" s="14" t="s">
        <v>2</v>
      </c>
      <c r="F30" s="15" t="s">
        <v>965</v>
      </c>
      <c r="G30" s="16" t="s">
        <v>11</v>
      </c>
      <c r="H30" s="17">
        <v>13791.98</v>
      </c>
      <c r="I30" s="17">
        <v>11493.32</v>
      </c>
      <c r="J30" s="17">
        <f t="shared" si="0"/>
        <v>8826.8672000000006</v>
      </c>
      <c r="K30" s="17">
        <f t="shared" si="1"/>
        <v>10343.985000000001</v>
      </c>
      <c r="L30" s="18">
        <f t="shared" si="2"/>
        <v>-659106725.17739999</v>
      </c>
      <c r="M30" s="18">
        <f t="shared" si="2"/>
        <v>-549255763.61159992</v>
      </c>
      <c r="N30" s="17" t="s">
        <v>4</v>
      </c>
      <c r="O30" s="19">
        <v>1</v>
      </c>
      <c r="P30" s="19">
        <v>1</v>
      </c>
      <c r="Q30" s="19">
        <v>1</v>
      </c>
      <c r="R30" s="11" t="s">
        <v>12</v>
      </c>
      <c r="S30" s="11" t="s">
        <v>21</v>
      </c>
      <c r="T30" s="20" t="s">
        <v>54</v>
      </c>
      <c r="U30" s="20"/>
      <c r="V30" s="16" t="s">
        <v>5</v>
      </c>
      <c r="W30" s="16" t="s">
        <v>6</v>
      </c>
      <c r="X30" s="16"/>
      <c r="Y30" s="21">
        <v>15</v>
      </c>
      <c r="Z30" s="22">
        <v>0.1328</v>
      </c>
      <c r="AA30" s="17" t="e">
        <f t="shared" si="3"/>
        <v>#VALUE!</v>
      </c>
      <c r="AB30" s="17" t="e">
        <f t="shared" si="4"/>
        <v>#VALUE!</v>
      </c>
      <c r="AC30" s="21" t="e">
        <f t="shared" si="5"/>
        <v>#VALUE!</v>
      </c>
    </row>
    <row r="31" spans="1:29" s="23" customFormat="1" ht="24.75" customHeight="1" x14ac:dyDescent="0.25">
      <c r="A31" s="11" t="s">
        <v>79</v>
      </c>
      <c r="B31" s="12" t="s">
        <v>80</v>
      </c>
      <c r="C31" s="11" t="s">
        <v>79</v>
      </c>
      <c r="D31" s="13" t="s">
        <v>2</v>
      </c>
      <c r="E31" s="14" t="s">
        <v>2</v>
      </c>
      <c r="F31" s="15" t="s">
        <v>965</v>
      </c>
      <c r="G31" s="16" t="s">
        <v>11</v>
      </c>
      <c r="H31" s="17">
        <v>6815.6</v>
      </c>
      <c r="I31" s="17">
        <v>5679.67</v>
      </c>
      <c r="J31" s="17">
        <f t="shared" si="0"/>
        <v>4361.9840000000004</v>
      </c>
      <c r="K31" s="17">
        <f t="shared" si="1"/>
        <v>5111.7000000000007</v>
      </c>
      <c r="L31" s="18">
        <f t="shared" si="2"/>
        <v>-325711594.42799997</v>
      </c>
      <c r="M31" s="18">
        <f t="shared" si="2"/>
        <v>-271426487.98710001</v>
      </c>
      <c r="N31" s="17" t="s">
        <v>4</v>
      </c>
      <c r="O31" s="19">
        <v>1</v>
      </c>
      <c r="P31" s="19">
        <v>1</v>
      </c>
      <c r="Q31" s="19">
        <v>1</v>
      </c>
      <c r="R31" s="11" t="s">
        <v>12</v>
      </c>
      <c r="S31" s="11" t="s">
        <v>21</v>
      </c>
      <c r="T31" s="20" t="s">
        <v>54</v>
      </c>
      <c r="U31" s="20"/>
      <c r="V31" s="16" t="s">
        <v>7</v>
      </c>
      <c r="W31" s="16" t="s">
        <v>6</v>
      </c>
      <c r="X31" s="16"/>
      <c r="Y31" s="21">
        <v>8</v>
      </c>
      <c r="Z31" s="22">
        <v>5.5440000000000003E-2</v>
      </c>
      <c r="AA31" s="17" t="e">
        <f t="shared" si="3"/>
        <v>#VALUE!</v>
      </c>
      <c r="AB31" s="17" t="e">
        <f t="shared" si="4"/>
        <v>#VALUE!</v>
      </c>
      <c r="AC31" s="21" t="e">
        <f t="shared" si="5"/>
        <v>#VALUE!</v>
      </c>
    </row>
    <row r="32" spans="1:29" s="23" customFormat="1" ht="24.75" customHeight="1" x14ac:dyDescent="0.25">
      <c r="A32" s="11" t="s">
        <v>81</v>
      </c>
      <c r="B32" s="12" t="s">
        <v>82</v>
      </c>
      <c r="C32" s="11" t="s">
        <v>81</v>
      </c>
      <c r="D32" s="13" t="s">
        <v>2</v>
      </c>
      <c r="E32" s="14" t="s">
        <v>2</v>
      </c>
      <c r="F32" s="15" t="s">
        <v>965</v>
      </c>
      <c r="G32" s="16" t="s">
        <v>11</v>
      </c>
      <c r="H32" s="17">
        <v>8490.92</v>
      </c>
      <c r="I32" s="17">
        <v>7075.77</v>
      </c>
      <c r="J32" s="17">
        <f t="shared" si="0"/>
        <v>5434.1887999999999</v>
      </c>
      <c r="K32" s="17">
        <f t="shared" si="1"/>
        <v>6368.1900000000005</v>
      </c>
      <c r="L32" s="18">
        <f t="shared" si="2"/>
        <v>-405773679.69959998</v>
      </c>
      <c r="M32" s="18">
        <f t="shared" si="2"/>
        <v>-338144892.38010001</v>
      </c>
      <c r="N32" s="17" t="s">
        <v>4</v>
      </c>
      <c r="O32" s="19">
        <v>1</v>
      </c>
      <c r="P32" s="19">
        <v>1</v>
      </c>
      <c r="Q32" s="19">
        <v>1</v>
      </c>
      <c r="R32" s="11" t="s">
        <v>12</v>
      </c>
      <c r="S32" s="11" t="s">
        <v>21</v>
      </c>
      <c r="T32" s="20" t="s">
        <v>54</v>
      </c>
      <c r="U32" s="20"/>
      <c r="V32" s="16" t="s">
        <v>5</v>
      </c>
      <c r="W32" s="16" t="s">
        <v>6</v>
      </c>
      <c r="X32" s="16"/>
      <c r="Y32" s="21">
        <v>11</v>
      </c>
      <c r="Z32" s="22">
        <v>7.2239999999999999E-2</v>
      </c>
      <c r="AA32" s="17" t="e">
        <f t="shared" si="3"/>
        <v>#VALUE!</v>
      </c>
      <c r="AB32" s="17" t="e">
        <f t="shared" si="4"/>
        <v>#VALUE!</v>
      </c>
      <c r="AC32" s="21" t="e">
        <f t="shared" si="5"/>
        <v>#VALUE!</v>
      </c>
    </row>
    <row r="33" spans="1:29" s="23" customFormat="1" ht="24.75" customHeight="1" x14ac:dyDescent="0.25">
      <c r="A33" s="11" t="s">
        <v>83</v>
      </c>
      <c r="B33" s="12" t="s">
        <v>84</v>
      </c>
      <c r="C33" s="11" t="s">
        <v>83</v>
      </c>
      <c r="D33" s="13" t="s">
        <v>2</v>
      </c>
      <c r="E33" s="14" t="s">
        <v>2</v>
      </c>
      <c r="F33" s="15" t="s">
        <v>965</v>
      </c>
      <c r="G33" s="16" t="s">
        <v>11</v>
      </c>
      <c r="H33" s="17">
        <v>11939.65</v>
      </c>
      <c r="I33" s="17">
        <v>9949.7099999999991</v>
      </c>
      <c r="J33" s="17">
        <f t="shared" si="0"/>
        <v>7641.3760000000002</v>
      </c>
      <c r="K33" s="17">
        <f t="shared" si="1"/>
        <v>8954.7374999999993</v>
      </c>
      <c r="L33" s="18">
        <f t="shared" si="2"/>
        <v>-570585486.00449991</v>
      </c>
      <c r="M33" s="18">
        <f t="shared" si="2"/>
        <v>-475487984.65229994</v>
      </c>
      <c r="N33" s="17" t="s">
        <v>4</v>
      </c>
      <c r="O33" s="19">
        <v>1</v>
      </c>
      <c r="P33" s="19">
        <v>1</v>
      </c>
      <c r="Q33" s="19">
        <v>1</v>
      </c>
      <c r="R33" s="11" t="s">
        <v>12</v>
      </c>
      <c r="S33" s="11" t="s">
        <v>21</v>
      </c>
      <c r="T33" s="20" t="s">
        <v>54</v>
      </c>
      <c r="U33" s="20"/>
      <c r="V33" s="16" t="s">
        <v>5</v>
      </c>
      <c r="W33" s="16" t="s">
        <v>6</v>
      </c>
      <c r="X33" s="16"/>
      <c r="Y33" s="21">
        <v>13</v>
      </c>
      <c r="Z33" s="22">
        <v>0.10584</v>
      </c>
      <c r="AA33" s="17" t="e">
        <f t="shared" si="3"/>
        <v>#VALUE!</v>
      </c>
      <c r="AB33" s="17" t="e">
        <f t="shared" si="4"/>
        <v>#VALUE!</v>
      </c>
      <c r="AC33" s="21" t="e">
        <f t="shared" si="5"/>
        <v>#VALUE!</v>
      </c>
    </row>
    <row r="34" spans="1:29" s="23" customFormat="1" ht="24.75" customHeight="1" x14ac:dyDescent="0.25">
      <c r="A34" s="11" t="s">
        <v>85</v>
      </c>
      <c r="B34" s="12" t="s">
        <v>86</v>
      </c>
      <c r="C34" s="11" t="s">
        <v>85</v>
      </c>
      <c r="D34" s="13" t="s">
        <v>2</v>
      </c>
      <c r="E34" s="14" t="s">
        <v>2</v>
      </c>
      <c r="F34" s="15" t="s">
        <v>965</v>
      </c>
      <c r="G34" s="16" t="s">
        <v>11</v>
      </c>
      <c r="H34" s="17">
        <v>15233.12</v>
      </c>
      <c r="I34" s="17">
        <v>12694.27</v>
      </c>
      <c r="J34" s="17">
        <f t="shared" si="0"/>
        <v>9749.1967999999997</v>
      </c>
      <c r="K34" s="17">
        <f t="shared" si="1"/>
        <v>11424.84</v>
      </c>
      <c r="L34" s="18">
        <f t="shared" si="2"/>
        <v>-727977551.98559999</v>
      </c>
      <c r="M34" s="18">
        <f t="shared" si="2"/>
        <v>-606648119.28509998</v>
      </c>
      <c r="N34" s="17" t="s">
        <v>9</v>
      </c>
      <c r="O34" s="19">
        <v>1</v>
      </c>
      <c r="P34" s="19">
        <v>1</v>
      </c>
      <c r="Q34" s="19">
        <v>1</v>
      </c>
      <c r="R34" s="11" t="s">
        <v>12</v>
      </c>
      <c r="S34" s="11" t="s">
        <v>21</v>
      </c>
      <c r="T34" s="20" t="s">
        <v>54</v>
      </c>
      <c r="U34" s="20"/>
      <c r="V34" s="16" t="s">
        <v>5</v>
      </c>
      <c r="W34" s="16" t="s">
        <v>6</v>
      </c>
      <c r="X34" s="16"/>
      <c r="Y34" s="21">
        <v>16</v>
      </c>
      <c r="Z34" s="22">
        <v>0.13944000000000001</v>
      </c>
      <c r="AA34" s="17" t="e">
        <f t="shared" si="3"/>
        <v>#VALUE!</v>
      </c>
      <c r="AB34" s="17" t="e">
        <f t="shared" si="4"/>
        <v>#VALUE!</v>
      </c>
      <c r="AC34" s="21" t="e">
        <f t="shared" si="5"/>
        <v>#VALUE!</v>
      </c>
    </row>
    <row r="35" spans="1:29" s="23" customFormat="1" ht="24.75" customHeight="1" x14ac:dyDescent="0.25">
      <c r="A35" s="11" t="s">
        <v>87</v>
      </c>
      <c r="B35" s="12" t="s">
        <v>88</v>
      </c>
      <c r="C35" s="11" t="s">
        <v>87</v>
      </c>
      <c r="D35" s="13" t="s">
        <v>2</v>
      </c>
      <c r="E35" s="14" t="s">
        <v>2</v>
      </c>
      <c r="F35" s="15" t="s">
        <v>965</v>
      </c>
      <c r="G35" s="16" t="s">
        <v>11</v>
      </c>
      <c r="H35" s="17">
        <v>7438.24</v>
      </c>
      <c r="I35" s="17">
        <v>6198.53</v>
      </c>
      <c r="J35" s="17">
        <f t="shared" si="0"/>
        <v>4760.4735999999994</v>
      </c>
      <c r="K35" s="17">
        <f t="shared" si="1"/>
        <v>5578.68</v>
      </c>
      <c r="L35" s="18">
        <f t="shared" si="2"/>
        <v>-355467018.33119994</v>
      </c>
      <c r="M35" s="18">
        <f t="shared" si="2"/>
        <v>-296222355.97889996</v>
      </c>
      <c r="N35" s="17" t="s">
        <v>4</v>
      </c>
      <c r="O35" s="19">
        <v>1</v>
      </c>
      <c r="P35" s="19">
        <v>1</v>
      </c>
      <c r="Q35" s="19">
        <v>1</v>
      </c>
      <c r="R35" s="11" t="s">
        <v>12</v>
      </c>
      <c r="S35" s="11" t="s">
        <v>21</v>
      </c>
      <c r="T35" s="20" t="s">
        <v>54</v>
      </c>
      <c r="U35" s="20"/>
      <c r="V35" s="16" t="s">
        <v>7</v>
      </c>
      <c r="W35" s="16" t="s">
        <v>6</v>
      </c>
      <c r="X35" s="16"/>
      <c r="Y35" s="21">
        <v>9</v>
      </c>
      <c r="Z35" s="22">
        <v>6.0720000000000003E-2</v>
      </c>
      <c r="AA35" s="17" t="e">
        <f t="shared" ref="AA35:AA66" si="6">IF(OR(F35="",L35=""),"",F35*L35)</f>
        <v>#VALUE!</v>
      </c>
      <c r="AB35" s="17" t="e">
        <f t="shared" ref="AB35:AB66" si="7">IF(OR(F35="",Y35=""),"",Y35*F35)</f>
        <v>#VALUE!</v>
      </c>
      <c r="AC35" s="21" t="e">
        <f t="shared" ref="AC35:AC66" si="8">IF(OR(F35="",Z35=""),"",F35*Z35)</f>
        <v>#VALUE!</v>
      </c>
    </row>
    <row r="36" spans="1:29" s="23" customFormat="1" ht="24.75" customHeight="1" x14ac:dyDescent="0.25">
      <c r="A36" s="11" t="s">
        <v>89</v>
      </c>
      <c r="B36" s="12" t="s">
        <v>90</v>
      </c>
      <c r="C36" s="11" t="s">
        <v>89</v>
      </c>
      <c r="D36" s="13" t="s">
        <v>2</v>
      </c>
      <c r="E36" s="14" t="s">
        <v>2</v>
      </c>
      <c r="F36" s="15" t="s">
        <v>965</v>
      </c>
      <c r="G36" s="16" t="s">
        <v>11</v>
      </c>
      <c r="H36" s="17">
        <v>9284.08</v>
      </c>
      <c r="I36" s="17">
        <v>7736.73</v>
      </c>
      <c r="J36" s="17">
        <f t="shared" si="0"/>
        <v>5941.8112000000001</v>
      </c>
      <c r="K36" s="17">
        <f t="shared" si="1"/>
        <v>6963.0599999999995</v>
      </c>
      <c r="L36" s="18">
        <f t="shared" si="2"/>
        <v>-443678106.05039996</v>
      </c>
      <c r="M36" s="18">
        <f t="shared" si="2"/>
        <v>-369731595.74489999</v>
      </c>
      <c r="N36" s="17" t="s">
        <v>4</v>
      </c>
      <c r="O36" s="19">
        <v>1</v>
      </c>
      <c r="P36" s="19">
        <v>1</v>
      </c>
      <c r="Q36" s="19">
        <v>1</v>
      </c>
      <c r="R36" s="11" t="s">
        <v>12</v>
      </c>
      <c r="S36" s="11" t="s">
        <v>21</v>
      </c>
      <c r="T36" s="20" t="s">
        <v>54</v>
      </c>
      <c r="U36" s="20"/>
      <c r="V36" s="16" t="s">
        <v>7</v>
      </c>
      <c r="W36" s="16" t="s">
        <v>6</v>
      </c>
      <c r="X36" s="16"/>
      <c r="Y36" s="21">
        <v>11</v>
      </c>
      <c r="Z36" s="22">
        <v>7.9119999999999996E-2</v>
      </c>
      <c r="AA36" s="17" t="e">
        <f t="shared" si="6"/>
        <v>#VALUE!</v>
      </c>
      <c r="AB36" s="17" t="e">
        <f t="shared" si="7"/>
        <v>#VALUE!</v>
      </c>
      <c r="AC36" s="21" t="e">
        <f t="shared" si="8"/>
        <v>#VALUE!</v>
      </c>
    </row>
    <row r="37" spans="1:29" s="23" customFormat="1" ht="24.75" customHeight="1" x14ac:dyDescent="0.25">
      <c r="A37" s="11" t="s">
        <v>91</v>
      </c>
      <c r="B37" s="12" t="s">
        <v>92</v>
      </c>
      <c r="C37" s="11" t="s">
        <v>91</v>
      </c>
      <c r="D37" s="13" t="s">
        <v>2</v>
      </c>
      <c r="E37" s="14" t="s">
        <v>2</v>
      </c>
      <c r="F37" s="15" t="s">
        <v>965</v>
      </c>
      <c r="G37" s="16" t="s">
        <v>11</v>
      </c>
      <c r="H37" s="17">
        <v>13059.23</v>
      </c>
      <c r="I37" s="17">
        <v>10882.69</v>
      </c>
      <c r="J37" s="17">
        <f t="shared" si="0"/>
        <v>8357.9071999999996</v>
      </c>
      <c r="K37" s="17">
        <f t="shared" si="1"/>
        <v>9794.4225000000006</v>
      </c>
      <c r="L37" s="18">
        <f t="shared" si="2"/>
        <v>-624089240.16989994</v>
      </c>
      <c r="M37" s="18">
        <f t="shared" si="2"/>
        <v>-520074287.15969998</v>
      </c>
      <c r="N37" s="17" t="s">
        <v>4</v>
      </c>
      <c r="O37" s="19">
        <v>1</v>
      </c>
      <c r="P37" s="19">
        <v>1</v>
      </c>
      <c r="Q37" s="19">
        <v>1</v>
      </c>
      <c r="R37" s="11" t="s">
        <v>12</v>
      </c>
      <c r="S37" s="11" t="s">
        <v>21</v>
      </c>
      <c r="T37" s="20" t="s">
        <v>54</v>
      </c>
      <c r="U37" s="20"/>
      <c r="V37" s="16" t="s">
        <v>7</v>
      </c>
      <c r="W37" s="16" t="s">
        <v>6</v>
      </c>
      <c r="X37" s="16"/>
      <c r="Y37" s="21">
        <v>14.5</v>
      </c>
      <c r="Z37" s="22">
        <v>0.11592</v>
      </c>
      <c r="AA37" s="17" t="e">
        <f t="shared" si="6"/>
        <v>#VALUE!</v>
      </c>
      <c r="AB37" s="17" t="e">
        <f t="shared" si="7"/>
        <v>#VALUE!</v>
      </c>
      <c r="AC37" s="21" t="e">
        <f t="shared" si="8"/>
        <v>#VALUE!</v>
      </c>
    </row>
    <row r="38" spans="1:29" s="23" customFormat="1" ht="24.75" customHeight="1" x14ac:dyDescent="0.25">
      <c r="A38" s="11" t="s">
        <v>93</v>
      </c>
      <c r="B38" s="12" t="s">
        <v>94</v>
      </c>
      <c r="C38" s="11" t="s">
        <v>93</v>
      </c>
      <c r="D38" s="13" t="s">
        <v>2</v>
      </c>
      <c r="E38" s="14" t="s">
        <v>2</v>
      </c>
      <c r="F38" s="15" t="s">
        <v>965</v>
      </c>
      <c r="G38" s="16" t="s">
        <v>11</v>
      </c>
      <c r="H38" s="17">
        <v>16715.18</v>
      </c>
      <c r="I38" s="17">
        <v>13929.32</v>
      </c>
      <c r="J38" s="17">
        <f t="shared" si="0"/>
        <v>10697.715200000001</v>
      </c>
      <c r="K38" s="17">
        <f t="shared" si="1"/>
        <v>12536.385</v>
      </c>
      <c r="L38" s="18">
        <f t="shared" si="2"/>
        <v>-798803909.99339998</v>
      </c>
      <c r="M38" s="18">
        <f t="shared" si="2"/>
        <v>-665670084.29159999</v>
      </c>
      <c r="N38" s="17" t="s">
        <v>4</v>
      </c>
      <c r="O38" s="19">
        <v>1</v>
      </c>
      <c r="P38" s="19">
        <v>1</v>
      </c>
      <c r="Q38" s="19">
        <v>1</v>
      </c>
      <c r="R38" s="11" t="s">
        <v>12</v>
      </c>
      <c r="S38" s="11" t="s">
        <v>21</v>
      </c>
      <c r="T38" s="20" t="s">
        <v>54</v>
      </c>
      <c r="U38" s="20"/>
      <c r="V38" s="16" t="s">
        <v>7</v>
      </c>
      <c r="W38" s="16" t="s">
        <v>6</v>
      </c>
      <c r="X38" s="16"/>
      <c r="Y38" s="21">
        <v>18</v>
      </c>
      <c r="Z38" s="22">
        <v>0.15271999999999999</v>
      </c>
      <c r="AA38" s="17" t="e">
        <f t="shared" si="6"/>
        <v>#VALUE!</v>
      </c>
      <c r="AB38" s="17" t="e">
        <f t="shared" si="7"/>
        <v>#VALUE!</v>
      </c>
      <c r="AC38" s="21" t="e">
        <f t="shared" si="8"/>
        <v>#VALUE!</v>
      </c>
    </row>
    <row r="39" spans="1:29" s="23" customFormat="1" ht="24.75" customHeight="1" x14ac:dyDescent="0.25">
      <c r="A39" s="11" t="s">
        <v>95</v>
      </c>
      <c r="B39" s="12" t="s">
        <v>96</v>
      </c>
      <c r="C39" s="11" t="s">
        <v>95</v>
      </c>
      <c r="D39" s="13" t="s">
        <v>2</v>
      </c>
      <c r="E39" s="14" t="s">
        <v>2</v>
      </c>
      <c r="F39" s="15" t="s">
        <v>965</v>
      </c>
      <c r="G39" s="16" t="s">
        <v>11</v>
      </c>
      <c r="H39" s="17">
        <v>27191.67</v>
      </c>
      <c r="I39" s="17">
        <v>22659.73</v>
      </c>
      <c r="J39" s="17">
        <f t="shared" si="0"/>
        <v>17402.668799999999</v>
      </c>
      <c r="K39" s="17">
        <f t="shared" si="1"/>
        <v>20393.752499999999</v>
      </c>
      <c r="L39" s="18">
        <f t="shared" si="2"/>
        <v>-1299466252.5470998</v>
      </c>
      <c r="M39" s="18">
        <f t="shared" si="2"/>
        <v>-1082888782.7349</v>
      </c>
      <c r="N39" s="17" t="s">
        <v>4</v>
      </c>
      <c r="O39" s="19">
        <v>1</v>
      </c>
      <c r="P39" s="19">
        <v>1</v>
      </c>
      <c r="Q39" s="19">
        <v>1</v>
      </c>
      <c r="R39" s="11" t="s">
        <v>12</v>
      </c>
      <c r="S39" s="11" t="s">
        <v>21</v>
      </c>
      <c r="T39" s="20" t="s">
        <v>97</v>
      </c>
      <c r="U39" s="20"/>
      <c r="V39" s="16" t="s">
        <v>7</v>
      </c>
      <c r="W39" s="16" t="s">
        <v>6</v>
      </c>
      <c r="X39" s="16"/>
      <c r="Y39" s="21">
        <v>11.2</v>
      </c>
      <c r="Z39" s="22">
        <v>0.12615999999999999</v>
      </c>
      <c r="AA39" s="17" t="e">
        <f t="shared" si="6"/>
        <v>#VALUE!</v>
      </c>
      <c r="AB39" s="17" t="e">
        <f t="shared" si="7"/>
        <v>#VALUE!</v>
      </c>
      <c r="AC39" s="21" t="e">
        <f t="shared" si="8"/>
        <v>#VALUE!</v>
      </c>
    </row>
    <row r="40" spans="1:29" s="23" customFormat="1" ht="24.75" customHeight="1" x14ac:dyDescent="0.25">
      <c r="A40" s="11" t="s">
        <v>98</v>
      </c>
      <c r="B40" s="12" t="s">
        <v>99</v>
      </c>
      <c r="C40" s="11" t="s">
        <v>98</v>
      </c>
      <c r="D40" s="13" t="s">
        <v>2</v>
      </c>
      <c r="E40" s="14" t="s">
        <v>2</v>
      </c>
      <c r="F40" s="15" t="s">
        <v>965</v>
      </c>
      <c r="G40" s="16" t="s">
        <v>11</v>
      </c>
      <c r="H40" s="17">
        <v>29095.83</v>
      </c>
      <c r="I40" s="17">
        <v>24246.53</v>
      </c>
      <c r="J40" s="17">
        <f t="shared" si="0"/>
        <v>18621.331200000001</v>
      </c>
      <c r="K40" s="17">
        <f t="shared" si="1"/>
        <v>21821.872500000001</v>
      </c>
      <c r="L40" s="18">
        <f t="shared" si="2"/>
        <v>-1390464402.3278999</v>
      </c>
      <c r="M40" s="18">
        <f t="shared" si="2"/>
        <v>-1158720574.2189</v>
      </c>
      <c r="N40" s="17" t="s">
        <v>4</v>
      </c>
      <c r="O40" s="19">
        <v>1</v>
      </c>
      <c r="P40" s="19">
        <v>1</v>
      </c>
      <c r="Q40" s="19">
        <v>1</v>
      </c>
      <c r="R40" s="11" t="s">
        <v>12</v>
      </c>
      <c r="S40" s="11" t="s">
        <v>21</v>
      </c>
      <c r="T40" s="20" t="s">
        <v>97</v>
      </c>
      <c r="U40" s="20"/>
      <c r="V40" s="16" t="s">
        <v>5</v>
      </c>
      <c r="W40" s="16" t="s">
        <v>6</v>
      </c>
      <c r="X40" s="16"/>
      <c r="Y40" s="21">
        <v>13.5</v>
      </c>
      <c r="Z40" s="22">
        <v>9.5759999999999998E-2</v>
      </c>
      <c r="AA40" s="17" t="e">
        <f t="shared" si="6"/>
        <v>#VALUE!</v>
      </c>
      <c r="AB40" s="17" t="e">
        <f t="shared" si="7"/>
        <v>#VALUE!</v>
      </c>
      <c r="AC40" s="21" t="e">
        <f t="shared" si="8"/>
        <v>#VALUE!</v>
      </c>
    </row>
    <row r="41" spans="1:29" s="23" customFormat="1" ht="24.75" customHeight="1" x14ac:dyDescent="0.25">
      <c r="A41" s="11" t="s">
        <v>100</v>
      </c>
      <c r="B41" s="12" t="s">
        <v>101</v>
      </c>
      <c r="C41" s="11" t="s">
        <v>100</v>
      </c>
      <c r="D41" s="13" t="s">
        <v>2</v>
      </c>
      <c r="E41" s="14" t="s">
        <v>2</v>
      </c>
      <c r="F41" s="15" t="s">
        <v>965</v>
      </c>
      <c r="G41" s="16" t="s">
        <v>11</v>
      </c>
      <c r="H41" s="17">
        <v>33139.14</v>
      </c>
      <c r="I41" s="17">
        <v>27615.95</v>
      </c>
      <c r="J41" s="17">
        <f t="shared" si="0"/>
        <v>21209.049599999998</v>
      </c>
      <c r="K41" s="17">
        <f t="shared" si="1"/>
        <v>24854.355</v>
      </c>
      <c r="L41" s="18">
        <f t="shared" si="2"/>
        <v>-1583690669.5481999</v>
      </c>
      <c r="M41" s="18">
        <f t="shared" si="2"/>
        <v>-1319742224.6234999</v>
      </c>
      <c r="N41" s="17" t="s">
        <v>4</v>
      </c>
      <c r="O41" s="19">
        <v>1</v>
      </c>
      <c r="P41" s="19">
        <v>1</v>
      </c>
      <c r="Q41" s="19">
        <v>1</v>
      </c>
      <c r="R41" s="11" t="s">
        <v>12</v>
      </c>
      <c r="S41" s="11" t="s">
        <v>21</v>
      </c>
      <c r="T41" s="20" t="s">
        <v>97</v>
      </c>
      <c r="U41" s="20"/>
      <c r="V41" s="16" t="s">
        <v>5</v>
      </c>
      <c r="W41" s="16" t="s">
        <v>6</v>
      </c>
      <c r="X41" s="16"/>
      <c r="Y41" s="21">
        <v>18</v>
      </c>
      <c r="Z41" s="22">
        <v>6.5360000000000001E-2</v>
      </c>
      <c r="AA41" s="17" t="e">
        <f t="shared" si="6"/>
        <v>#VALUE!</v>
      </c>
      <c r="AB41" s="17" t="e">
        <f t="shared" si="7"/>
        <v>#VALUE!</v>
      </c>
      <c r="AC41" s="21" t="e">
        <f t="shared" si="8"/>
        <v>#VALUE!</v>
      </c>
    </row>
    <row r="42" spans="1:29" s="23" customFormat="1" ht="24.75" customHeight="1" x14ac:dyDescent="0.25">
      <c r="A42" s="11" t="s">
        <v>102</v>
      </c>
      <c r="B42" s="12" t="s">
        <v>103</v>
      </c>
      <c r="C42" s="11" t="s">
        <v>102</v>
      </c>
      <c r="D42" s="13" t="s">
        <v>2</v>
      </c>
      <c r="E42" s="14" t="s">
        <v>2</v>
      </c>
      <c r="F42" s="15" t="s">
        <v>965</v>
      </c>
      <c r="G42" s="16" t="s">
        <v>11</v>
      </c>
      <c r="H42" s="17">
        <v>37409.01</v>
      </c>
      <c r="I42" s="17">
        <v>31174.18</v>
      </c>
      <c r="J42" s="17">
        <f t="shared" si="0"/>
        <v>23941.7664</v>
      </c>
      <c r="K42" s="17">
        <f t="shared" si="1"/>
        <v>28056.7575</v>
      </c>
      <c r="L42" s="18">
        <f t="shared" si="2"/>
        <v>-1787744042.0613</v>
      </c>
      <c r="M42" s="18">
        <f t="shared" si="2"/>
        <v>-1489786940.6633999</v>
      </c>
      <c r="N42" s="17" t="s">
        <v>4</v>
      </c>
      <c r="O42" s="19">
        <v>1</v>
      </c>
      <c r="P42" s="19">
        <v>1</v>
      </c>
      <c r="Q42" s="19">
        <v>1</v>
      </c>
      <c r="R42" s="11" t="s">
        <v>12</v>
      </c>
      <c r="S42" s="11" t="s">
        <v>21</v>
      </c>
      <c r="T42" s="20" t="s">
        <v>97</v>
      </c>
      <c r="U42" s="20"/>
      <c r="V42" s="16" t="s">
        <v>5</v>
      </c>
      <c r="W42" s="16" t="s">
        <v>6</v>
      </c>
      <c r="X42" s="16"/>
      <c r="Y42" s="21">
        <v>23</v>
      </c>
      <c r="Z42" s="22">
        <v>0.12615999999999999</v>
      </c>
      <c r="AA42" s="17" t="e">
        <f t="shared" si="6"/>
        <v>#VALUE!</v>
      </c>
      <c r="AB42" s="17" t="e">
        <f t="shared" si="7"/>
        <v>#VALUE!</v>
      </c>
      <c r="AC42" s="21" t="e">
        <f t="shared" si="8"/>
        <v>#VALUE!</v>
      </c>
    </row>
    <row r="43" spans="1:29" s="23" customFormat="1" ht="24.75" customHeight="1" x14ac:dyDescent="0.25">
      <c r="A43" s="11" t="s">
        <v>104</v>
      </c>
      <c r="B43" s="12" t="s">
        <v>105</v>
      </c>
      <c r="C43" s="11" t="s">
        <v>104</v>
      </c>
      <c r="D43" s="13" t="s">
        <v>2</v>
      </c>
      <c r="E43" s="14" t="s">
        <v>2</v>
      </c>
      <c r="F43" s="15" t="s">
        <v>965</v>
      </c>
      <c r="G43" s="16" t="s">
        <v>11</v>
      </c>
      <c r="H43" s="17">
        <v>28149.14</v>
      </c>
      <c r="I43" s="17">
        <v>23457.62</v>
      </c>
      <c r="J43" s="17">
        <f t="shared" si="0"/>
        <v>18015.4496</v>
      </c>
      <c r="K43" s="17">
        <f t="shared" si="1"/>
        <v>21111.855</v>
      </c>
      <c r="L43" s="18">
        <f t="shared" si="2"/>
        <v>-1345222910.8481998</v>
      </c>
      <c r="M43" s="18">
        <f t="shared" si="2"/>
        <v>-1121019251.6705999</v>
      </c>
      <c r="N43" s="17" t="s">
        <v>4</v>
      </c>
      <c r="O43" s="19">
        <v>1</v>
      </c>
      <c r="P43" s="19">
        <v>1</v>
      </c>
      <c r="Q43" s="19">
        <v>1</v>
      </c>
      <c r="R43" s="11" t="s">
        <v>12</v>
      </c>
      <c r="S43" s="11" t="s">
        <v>21</v>
      </c>
      <c r="T43" s="20" t="s">
        <v>97</v>
      </c>
      <c r="U43" s="20"/>
      <c r="V43" s="16" t="s">
        <v>7</v>
      </c>
      <c r="W43" s="16" t="s">
        <v>6</v>
      </c>
      <c r="X43" s="16"/>
      <c r="Y43" s="21">
        <v>12.3</v>
      </c>
      <c r="Z43" s="22">
        <v>0.10584</v>
      </c>
      <c r="AA43" s="17" t="e">
        <f t="shared" si="6"/>
        <v>#VALUE!</v>
      </c>
      <c r="AB43" s="17" t="e">
        <f t="shared" si="7"/>
        <v>#VALUE!</v>
      </c>
      <c r="AC43" s="21" t="e">
        <f t="shared" si="8"/>
        <v>#VALUE!</v>
      </c>
    </row>
    <row r="44" spans="1:29" s="23" customFormat="1" ht="24.75" customHeight="1" x14ac:dyDescent="0.25">
      <c r="A44" s="11" t="s">
        <v>106</v>
      </c>
      <c r="B44" s="12" t="s">
        <v>107</v>
      </c>
      <c r="C44" s="11" t="s">
        <v>106</v>
      </c>
      <c r="D44" s="13" t="s">
        <v>2</v>
      </c>
      <c r="E44" s="14" t="s">
        <v>2</v>
      </c>
      <c r="F44" s="15" t="s">
        <v>965</v>
      </c>
      <c r="G44" s="16" t="s">
        <v>11</v>
      </c>
      <c r="H44" s="17">
        <v>30453.4</v>
      </c>
      <c r="I44" s="17">
        <v>25377.83</v>
      </c>
      <c r="J44" s="17">
        <f t="shared" si="0"/>
        <v>19490.175999999999</v>
      </c>
      <c r="K44" s="17">
        <f t="shared" si="1"/>
        <v>22840.050000000003</v>
      </c>
      <c r="L44" s="18">
        <f t="shared" si="2"/>
        <v>-1455341491.5420001</v>
      </c>
      <c r="M44" s="18">
        <f t="shared" si="2"/>
        <v>-1212784416.9879</v>
      </c>
      <c r="N44" s="17" t="s">
        <v>4</v>
      </c>
      <c r="O44" s="19">
        <v>1</v>
      </c>
      <c r="P44" s="19">
        <v>1</v>
      </c>
      <c r="Q44" s="19">
        <v>1</v>
      </c>
      <c r="R44" s="11" t="s">
        <v>12</v>
      </c>
      <c r="S44" s="11" t="s">
        <v>21</v>
      </c>
      <c r="T44" s="20" t="s">
        <v>97</v>
      </c>
      <c r="U44" s="20"/>
      <c r="V44" s="16" t="s">
        <v>5</v>
      </c>
      <c r="W44" s="16" t="s">
        <v>6</v>
      </c>
      <c r="X44" s="16"/>
      <c r="Y44" s="21">
        <v>15</v>
      </c>
      <c r="Z44" s="22">
        <v>7.2239999999999999E-2</v>
      </c>
      <c r="AA44" s="17" t="e">
        <f t="shared" si="6"/>
        <v>#VALUE!</v>
      </c>
      <c r="AB44" s="17" t="e">
        <f t="shared" si="7"/>
        <v>#VALUE!</v>
      </c>
      <c r="AC44" s="21" t="e">
        <f t="shared" si="8"/>
        <v>#VALUE!</v>
      </c>
    </row>
    <row r="45" spans="1:29" s="23" customFormat="1" ht="24.75" customHeight="1" x14ac:dyDescent="0.25">
      <c r="A45" s="11" t="s">
        <v>108</v>
      </c>
      <c r="B45" s="12" t="s">
        <v>109</v>
      </c>
      <c r="C45" s="11" t="s">
        <v>108</v>
      </c>
      <c r="D45" s="13" t="s">
        <v>2</v>
      </c>
      <c r="E45" s="14" t="s">
        <v>2</v>
      </c>
      <c r="F45" s="15" t="s">
        <v>965</v>
      </c>
      <c r="G45" s="16" t="s">
        <v>11</v>
      </c>
      <c r="H45" s="17">
        <v>35017.379999999997</v>
      </c>
      <c r="I45" s="17">
        <v>29181.15</v>
      </c>
      <c r="J45" s="17">
        <f t="shared" si="0"/>
        <v>22411.123199999998</v>
      </c>
      <c r="K45" s="17">
        <f t="shared" si="1"/>
        <v>26263.034999999996</v>
      </c>
      <c r="L45" s="18">
        <f t="shared" si="2"/>
        <v>-1673450125.0793998</v>
      </c>
      <c r="M45" s="18">
        <f t="shared" si="2"/>
        <v>-1394541770.8994999</v>
      </c>
      <c r="N45" s="17" t="s">
        <v>4</v>
      </c>
      <c r="O45" s="19">
        <v>1</v>
      </c>
      <c r="P45" s="19">
        <v>1</v>
      </c>
      <c r="Q45" s="19">
        <v>1</v>
      </c>
      <c r="R45" s="11" t="s">
        <v>12</v>
      </c>
      <c r="S45" s="11" t="s">
        <v>21</v>
      </c>
      <c r="T45" s="20" t="s">
        <v>97</v>
      </c>
      <c r="U45" s="20"/>
      <c r="V45" s="16" t="s">
        <v>5</v>
      </c>
      <c r="W45" s="16" t="s">
        <v>6</v>
      </c>
      <c r="X45" s="16"/>
      <c r="Y45" s="21">
        <v>20</v>
      </c>
      <c r="Z45" s="22">
        <v>0.13944000000000001</v>
      </c>
      <c r="AA45" s="17" t="e">
        <f t="shared" si="6"/>
        <v>#VALUE!</v>
      </c>
      <c r="AB45" s="17" t="e">
        <f t="shared" si="7"/>
        <v>#VALUE!</v>
      </c>
      <c r="AC45" s="21" t="e">
        <f t="shared" si="8"/>
        <v>#VALUE!</v>
      </c>
    </row>
    <row r="46" spans="1:29" s="23" customFormat="1" ht="24.75" customHeight="1" x14ac:dyDescent="0.25">
      <c r="A46" s="11" t="s">
        <v>110</v>
      </c>
      <c r="B46" s="12" t="s">
        <v>111</v>
      </c>
      <c r="C46" s="11" t="s">
        <v>110</v>
      </c>
      <c r="D46" s="13" t="s">
        <v>2</v>
      </c>
      <c r="E46" s="14" t="s">
        <v>2</v>
      </c>
      <c r="F46" s="15" t="s">
        <v>965</v>
      </c>
      <c r="G46" s="16" t="s">
        <v>11</v>
      </c>
      <c r="H46" s="17">
        <v>39412.17</v>
      </c>
      <c r="I46" s="17">
        <v>32843.480000000003</v>
      </c>
      <c r="J46" s="17">
        <f t="shared" si="0"/>
        <v>25223.788800000002</v>
      </c>
      <c r="K46" s="17">
        <f t="shared" si="1"/>
        <v>29559.127499999999</v>
      </c>
      <c r="L46" s="18">
        <f t="shared" si="2"/>
        <v>-1883473315.7120998</v>
      </c>
      <c r="M46" s="18">
        <f t="shared" si="2"/>
        <v>-1569561335.3724</v>
      </c>
      <c r="N46" s="17" t="s">
        <v>4</v>
      </c>
      <c r="O46" s="19">
        <v>1</v>
      </c>
      <c r="P46" s="19">
        <v>1</v>
      </c>
      <c r="Q46" s="19">
        <v>1</v>
      </c>
      <c r="R46" s="11" t="s">
        <v>12</v>
      </c>
      <c r="S46" s="11" t="s">
        <v>21</v>
      </c>
      <c r="T46" s="20" t="s">
        <v>97</v>
      </c>
      <c r="U46" s="20"/>
      <c r="V46" s="16" t="s">
        <v>5</v>
      </c>
      <c r="W46" s="16" t="s">
        <v>6</v>
      </c>
      <c r="X46" s="16"/>
      <c r="Y46" s="21">
        <v>25</v>
      </c>
      <c r="Z46" s="22">
        <v>0.10584</v>
      </c>
      <c r="AA46" s="17" t="e">
        <f t="shared" si="6"/>
        <v>#VALUE!</v>
      </c>
      <c r="AB46" s="17" t="e">
        <f t="shared" si="7"/>
        <v>#VALUE!</v>
      </c>
      <c r="AC46" s="21" t="e">
        <f t="shared" si="8"/>
        <v>#VALUE!</v>
      </c>
    </row>
    <row r="47" spans="1:29" s="23" customFormat="1" ht="24.75" customHeight="1" x14ac:dyDescent="0.25">
      <c r="A47" s="11" t="s">
        <v>112</v>
      </c>
      <c r="B47" s="12" t="s">
        <v>113</v>
      </c>
      <c r="C47" s="11" t="s">
        <v>112</v>
      </c>
      <c r="D47" s="13" t="s">
        <v>2</v>
      </c>
      <c r="E47" s="14" t="s">
        <v>2</v>
      </c>
      <c r="F47" s="15" t="s">
        <v>965</v>
      </c>
      <c r="G47" s="16" t="s">
        <v>11</v>
      </c>
      <c r="H47" s="17">
        <v>29108.93</v>
      </c>
      <c r="I47" s="17">
        <v>24257.439999999999</v>
      </c>
      <c r="J47" s="17">
        <f t="shared" si="0"/>
        <v>18629.715199999999</v>
      </c>
      <c r="K47" s="17">
        <f t="shared" si="1"/>
        <v>21831.697500000002</v>
      </c>
      <c r="L47" s="18">
        <f t="shared" si="2"/>
        <v>-1391090439.9308999</v>
      </c>
      <c r="M47" s="18">
        <f t="shared" si="2"/>
        <v>-1159241953.6271999</v>
      </c>
      <c r="N47" s="17" t="s">
        <v>4</v>
      </c>
      <c r="O47" s="19">
        <v>1</v>
      </c>
      <c r="P47" s="19">
        <v>1</v>
      </c>
      <c r="Q47" s="19">
        <v>1</v>
      </c>
      <c r="R47" s="11" t="s">
        <v>12</v>
      </c>
      <c r="S47" s="11" t="s">
        <v>21</v>
      </c>
      <c r="T47" s="20" t="s">
        <v>97</v>
      </c>
      <c r="U47" s="20"/>
      <c r="V47" s="16" t="s">
        <v>7</v>
      </c>
      <c r="W47" s="16" t="s">
        <v>6</v>
      </c>
      <c r="X47" s="16"/>
      <c r="Y47" s="21">
        <v>14</v>
      </c>
      <c r="Z47" s="22">
        <v>6.0720000000000003E-2</v>
      </c>
      <c r="AA47" s="17" t="e">
        <f t="shared" si="6"/>
        <v>#VALUE!</v>
      </c>
      <c r="AB47" s="17" t="e">
        <f t="shared" si="7"/>
        <v>#VALUE!</v>
      </c>
      <c r="AC47" s="21" t="e">
        <f t="shared" si="8"/>
        <v>#VALUE!</v>
      </c>
    </row>
    <row r="48" spans="1:29" s="23" customFormat="1" ht="24.75" customHeight="1" x14ac:dyDescent="0.25">
      <c r="A48" s="11" t="s">
        <v>114</v>
      </c>
      <c r="B48" s="12" t="s">
        <v>115</v>
      </c>
      <c r="C48" s="11" t="s">
        <v>114</v>
      </c>
      <c r="D48" s="13" t="s">
        <v>2</v>
      </c>
      <c r="E48" s="14" t="s">
        <v>2</v>
      </c>
      <c r="F48" s="15" t="s">
        <v>965</v>
      </c>
      <c r="G48" s="16" t="s">
        <v>11</v>
      </c>
      <c r="H48" s="17">
        <v>31619.66</v>
      </c>
      <c r="I48" s="17">
        <v>26349.72</v>
      </c>
      <c r="J48" s="17">
        <f t="shared" si="0"/>
        <v>20236.582399999999</v>
      </c>
      <c r="K48" s="17">
        <f t="shared" si="1"/>
        <v>23714.744999999999</v>
      </c>
      <c r="L48" s="18">
        <f t="shared" si="2"/>
        <v>-1511076042.2958</v>
      </c>
      <c r="M48" s="18">
        <f t="shared" si="2"/>
        <v>-1259230194.5436001</v>
      </c>
      <c r="N48" s="17" t="s">
        <v>4</v>
      </c>
      <c r="O48" s="19">
        <v>1</v>
      </c>
      <c r="P48" s="19">
        <v>1</v>
      </c>
      <c r="Q48" s="19">
        <v>1</v>
      </c>
      <c r="R48" s="11" t="s">
        <v>12</v>
      </c>
      <c r="S48" s="11" t="s">
        <v>21</v>
      </c>
      <c r="T48" s="20" t="s">
        <v>97</v>
      </c>
      <c r="U48" s="20"/>
      <c r="V48" s="16" t="s">
        <v>7</v>
      </c>
      <c r="W48" s="16" t="s">
        <v>6</v>
      </c>
      <c r="X48" s="16"/>
      <c r="Y48" s="21">
        <v>16.399999999999999</v>
      </c>
      <c r="Z48" s="22">
        <v>7.9119999999999996E-2</v>
      </c>
      <c r="AA48" s="17" t="e">
        <f t="shared" si="6"/>
        <v>#VALUE!</v>
      </c>
      <c r="AB48" s="17" t="e">
        <f t="shared" si="7"/>
        <v>#VALUE!</v>
      </c>
      <c r="AC48" s="21" t="e">
        <f t="shared" si="8"/>
        <v>#VALUE!</v>
      </c>
    </row>
    <row r="49" spans="1:29" s="23" customFormat="1" ht="24.75" customHeight="1" x14ac:dyDescent="0.25">
      <c r="A49" s="11" t="s">
        <v>116</v>
      </c>
      <c r="B49" s="12" t="s">
        <v>117</v>
      </c>
      <c r="C49" s="11" t="s">
        <v>116</v>
      </c>
      <c r="D49" s="13" t="s">
        <v>2</v>
      </c>
      <c r="E49" s="14" t="s">
        <v>2</v>
      </c>
      <c r="F49" s="15" t="s">
        <v>965</v>
      </c>
      <c r="G49" s="16" t="s">
        <v>11</v>
      </c>
      <c r="H49" s="17">
        <v>36284.1</v>
      </c>
      <c r="I49" s="17">
        <v>30236.75</v>
      </c>
      <c r="J49" s="17">
        <f t="shared" si="0"/>
        <v>23221.824000000001</v>
      </c>
      <c r="K49" s="17">
        <f t="shared" si="1"/>
        <v>27213.074999999997</v>
      </c>
      <c r="L49" s="18">
        <f t="shared" si="2"/>
        <v>-1733985571.8329999</v>
      </c>
      <c r="M49" s="18">
        <f t="shared" si="2"/>
        <v>-1444987976.5274999</v>
      </c>
      <c r="N49" s="17" t="s">
        <v>4</v>
      </c>
      <c r="O49" s="19">
        <v>1</v>
      </c>
      <c r="P49" s="19">
        <v>1</v>
      </c>
      <c r="Q49" s="19">
        <v>1</v>
      </c>
      <c r="R49" s="11" t="s">
        <v>12</v>
      </c>
      <c r="S49" s="11" t="s">
        <v>21</v>
      </c>
      <c r="T49" s="20" t="s">
        <v>97</v>
      </c>
      <c r="U49" s="20"/>
      <c r="V49" s="16" t="s">
        <v>7</v>
      </c>
      <c r="W49" s="16" t="s">
        <v>6</v>
      </c>
      <c r="X49" s="16"/>
      <c r="Y49" s="21">
        <v>22</v>
      </c>
      <c r="Z49" s="22">
        <v>0.11592</v>
      </c>
      <c r="AA49" s="17" t="e">
        <f t="shared" si="6"/>
        <v>#VALUE!</v>
      </c>
      <c r="AB49" s="17" t="e">
        <f t="shared" si="7"/>
        <v>#VALUE!</v>
      </c>
      <c r="AC49" s="21" t="e">
        <f t="shared" si="8"/>
        <v>#VALUE!</v>
      </c>
    </row>
    <row r="50" spans="1:29" s="23" customFormat="1" ht="24.75" customHeight="1" x14ac:dyDescent="0.25">
      <c r="A50" s="11" t="s">
        <v>118</v>
      </c>
      <c r="B50" s="12" t="s">
        <v>119</v>
      </c>
      <c r="C50" s="11" t="s">
        <v>118</v>
      </c>
      <c r="D50" s="13" t="s">
        <v>2</v>
      </c>
      <c r="E50" s="14" t="s">
        <v>2</v>
      </c>
      <c r="F50" s="15" t="s">
        <v>965</v>
      </c>
      <c r="G50" s="16" t="s">
        <v>11</v>
      </c>
      <c r="H50" s="17">
        <v>41459.89</v>
      </c>
      <c r="I50" s="17">
        <v>34549.910000000003</v>
      </c>
      <c r="J50" s="17">
        <f t="shared" si="0"/>
        <v>26534.329599999997</v>
      </c>
      <c r="K50" s="17">
        <f t="shared" si="1"/>
        <v>31094.9175</v>
      </c>
      <c r="L50" s="18">
        <f t="shared" si="2"/>
        <v>-1981332072.9956999</v>
      </c>
      <c r="M50" s="18">
        <f t="shared" si="2"/>
        <v>-1651110140.4783001</v>
      </c>
      <c r="N50" s="17" t="s">
        <v>4</v>
      </c>
      <c r="O50" s="19">
        <v>1</v>
      </c>
      <c r="P50" s="19">
        <v>1</v>
      </c>
      <c r="Q50" s="19">
        <v>1</v>
      </c>
      <c r="R50" s="11" t="s">
        <v>12</v>
      </c>
      <c r="S50" s="11" t="s">
        <v>21</v>
      </c>
      <c r="T50" s="20" t="s">
        <v>97</v>
      </c>
      <c r="U50" s="20"/>
      <c r="V50" s="16" t="s">
        <v>7</v>
      </c>
      <c r="W50" s="16" t="s">
        <v>6</v>
      </c>
      <c r="X50" s="16"/>
      <c r="Y50" s="21">
        <v>27.5</v>
      </c>
      <c r="Z50" s="22">
        <v>0.15271999999999999</v>
      </c>
      <c r="AA50" s="17" t="e">
        <f t="shared" si="6"/>
        <v>#VALUE!</v>
      </c>
      <c r="AB50" s="17" t="e">
        <f t="shared" si="7"/>
        <v>#VALUE!</v>
      </c>
      <c r="AC50" s="21" t="e">
        <f t="shared" si="8"/>
        <v>#VALUE!</v>
      </c>
    </row>
    <row r="51" spans="1:29" s="23" customFormat="1" ht="24.75" customHeight="1" x14ac:dyDescent="0.25">
      <c r="A51" s="11" t="s">
        <v>120</v>
      </c>
      <c r="B51" s="12" t="s">
        <v>121</v>
      </c>
      <c r="C51" s="11" t="s">
        <v>120</v>
      </c>
      <c r="D51" s="13" t="s">
        <v>2</v>
      </c>
      <c r="E51" s="14" t="s">
        <v>2</v>
      </c>
      <c r="F51" s="15" t="s">
        <v>965</v>
      </c>
      <c r="G51" s="16" t="s">
        <v>11</v>
      </c>
      <c r="H51" s="17">
        <v>3203.42</v>
      </c>
      <c r="I51" s="17">
        <v>2669.52</v>
      </c>
      <c r="J51" s="17">
        <f t="shared" si="0"/>
        <v>2050.1887999999999</v>
      </c>
      <c r="K51" s="17">
        <f t="shared" si="1"/>
        <v>2402.5650000000001</v>
      </c>
      <c r="L51" s="18">
        <f t="shared" si="2"/>
        <v>-153088654.82459998</v>
      </c>
      <c r="M51" s="18">
        <f t="shared" si="2"/>
        <v>-127574038.3176</v>
      </c>
      <c r="N51" s="17" t="s">
        <v>4</v>
      </c>
      <c r="O51" s="19">
        <v>1</v>
      </c>
      <c r="P51" s="19">
        <v>1</v>
      </c>
      <c r="Q51" s="19">
        <v>1</v>
      </c>
      <c r="R51" s="11" t="s">
        <v>12</v>
      </c>
      <c r="S51" s="11" t="s">
        <v>21</v>
      </c>
      <c r="T51" s="20" t="s">
        <v>122</v>
      </c>
      <c r="U51" s="20"/>
      <c r="V51" s="16" t="s">
        <v>5</v>
      </c>
      <c r="W51" s="16" t="s">
        <v>6</v>
      </c>
      <c r="X51" s="16"/>
      <c r="Y51" s="21">
        <v>1.2</v>
      </c>
      <c r="Z51" s="22">
        <v>2.9925E-2</v>
      </c>
      <c r="AA51" s="17" t="e">
        <f t="shared" si="6"/>
        <v>#VALUE!</v>
      </c>
      <c r="AB51" s="17" t="e">
        <f t="shared" si="7"/>
        <v>#VALUE!</v>
      </c>
      <c r="AC51" s="21" t="e">
        <f t="shared" si="8"/>
        <v>#VALUE!</v>
      </c>
    </row>
    <row r="52" spans="1:29" s="23" customFormat="1" ht="24.75" customHeight="1" x14ac:dyDescent="0.25">
      <c r="A52" s="11" t="s">
        <v>123</v>
      </c>
      <c r="B52" s="12" t="s">
        <v>124</v>
      </c>
      <c r="C52" s="11" t="s">
        <v>123</v>
      </c>
      <c r="D52" s="13" t="s">
        <v>2</v>
      </c>
      <c r="E52" s="14" t="s">
        <v>2</v>
      </c>
      <c r="F52" s="15" t="s">
        <v>965</v>
      </c>
      <c r="G52" s="16" t="s">
        <v>11</v>
      </c>
      <c r="H52" s="17">
        <v>3838.46</v>
      </c>
      <c r="I52" s="17">
        <v>3198.72</v>
      </c>
      <c r="J52" s="17">
        <f t="shared" si="0"/>
        <v>2456.6144000000004</v>
      </c>
      <c r="K52" s="17">
        <f t="shared" si="1"/>
        <v>2878.8450000000003</v>
      </c>
      <c r="L52" s="18">
        <f t="shared" si="2"/>
        <v>-183436663.93979999</v>
      </c>
      <c r="M52" s="18">
        <f t="shared" si="2"/>
        <v>-152864045.91359997</v>
      </c>
      <c r="N52" s="17" t="s">
        <v>4</v>
      </c>
      <c r="O52" s="19">
        <v>1</v>
      </c>
      <c r="P52" s="19">
        <v>1</v>
      </c>
      <c r="Q52" s="19">
        <v>1</v>
      </c>
      <c r="R52" s="11" t="s">
        <v>12</v>
      </c>
      <c r="S52" s="11" t="s">
        <v>21</v>
      </c>
      <c r="T52" s="20" t="s">
        <v>122</v>
      </c>
      <c r="U52" s="20"/>
      <c r="V52" s="16" t="s">
        <v>5</v>
      </c>
      <c r="W52" s="16" t="s">
        <v>6</v>
      </c>
      <c r="X52" s="16"/>
      <c r="Y52" s="21">
        <v>2</v>
      </c>
      <c r="Z52" s="22">
        <v>4.3225E-2</v>
      </c>
      <c r="AA52" s="17" t="e">
        <f t="shared" si="6"/>
        <v>#VALUE!</v>
      </c>
      <c r="AB52" s="17" t="e">
        <f t="shared" si="7"/>
        <v>#VALUE!</v>
      </c>
      <c r="AC52" s="21" t="e">
        <f t="shared" si="8"/>
        <v>#VALUE!</v>
      </c>
    </row>
    <row r="53" spans="1:29" s="23" customFormat="1" ht="24.75" customHeight="1" x14ac:dyDescent="0.25">
      <c r="A53" s="11" t="s">
        <v>125</v>
      </c>
      <c r="B53" s="12" t="s">
        <v>126</v>
      </c>
      <c r="C53" s="11" t="s">
        <v>125</v>
      </c>
      <c r="D53" s="13" t="s">
        <v>2</v>
      </c>
      <c r="E53" s="14" t="s">
        <v>2</v>
      </c>
      <c r="F53" s="15" t="s">
        <v>965</v>
      </c>
      <c r="G53" s="16" t="s">
        <v>11</v>
      </c>
      <c r="H53" s="17">
        <v>4473.5</v>
      </c>
      <c r="I53" s="17">
        <v>3727.92</v>
      </c>
      <c r="J53" s="17">
        <f t="shared" si="0"/>
        <v>2863.04</v>
      </c>
      <c r="K53" s="17">
        <f t="shared" si="1"/>
        <v>3355.125</v>
      </c>
      <c r="L53" s="18">
        <f t="shared" si="2"/>
        <v>-213784673.05499998</v>
      </c>
      <c r="M53" s="18">
        <f t="shared" si="2"/>
        <v>-178154053.50959998</v>
      </c>
      <c r="N53" s="17" t="s">
        <v>9</v>
      </c>
      <c r="O53" s="19">
        <v>1</v>
      </c>
      <c r="P53" s="19">
        <v>1</v>
      </c>
      <c r="Q53" s="19">
        <v>1</v>
      </c>
      <c r="R53" s="11" t="s">
        <v>12</v>
      </c>
      <c r="S53" s="11" t="s">
        <v>21</v>
      </c>
      <c r="T53" s="20" t="s">
        <v>122</v>
      </c>
      <c r="U53" s="20"/>
      <c r="V53" s="16" t="s">
        <v>5</v>
      </c>
      <c r="W53" s="16" t="s">
        <v>6</v>
      </c>
      <c r="X53" s="16"/>
      <c r="Y53" s="21">
        <v>2.2999999999999998</v>
      </c>
      <c r="Z53" s="22">
        <v>5.6524999999999999E-2</v>
      </c>
      <c r="AA53" s="17" t="e">
        <f t="shared" si="6"/>
        <v>#VALUE!</v>
      </c>
      <c r="AB53" s="17" t="e">
        <f t="shared" si="7"/>
        <v>#VALUE!</v>
      </c>
      <c r="AC53" s="21" t="e">
        <f t="shared" si="8"/>
        <v>#VALUE!</v>
      </c>
    </row>
    <row r="54" spans="1:29" s="23" customFormat="1" ht="24.75" customHeight="1" x14ac:dyDescent="0.25">
      <c r="A54" s="11" t="s">
        <v>127</v>
      </c>
      <c r="B54" s="12" t="s">
        <v>128</v>
      </c>
      <c r="C54" s="11" t="s">
        <v>127</v>
      </c>
      <c r="D54" s="13" t="s">
        <v>2</v>
      </c>
      <c r="E54" s="14" t="s">
        <v>2</v>
      </c>
      <c r="F54" s="15" t="s">
        <v>966</v>
      </c>
      <c r="G54" s="16" t="s">
        <v>11</v>
      </c>
      <c r="H54" s="17">
        <v>1368</v>
      </c>
      <c r="I54" s="17">
        <v>1140</v>
      </c>
      <c r="J54" s="17">
        <f t="shared" si="0"/>
        <v>875.52</v>
      </c>
      <c r="K54" s="17">
        <f t="shared" si="1"/>
        <v>1026</v>
      </c>
      <c r="L54" s="18">
        <f t="shared" si="2"/>
        <v>-65375529.839999996</v>
      </c>
      <c r="M54" s="18">
        <f t="shared" si="2"/>
        <v>-54479608.199999996</v>
      </c>
      <c r="N54" s="17" t="s">
        <v>4</v>
      </c>
      <c r="O54" s="19">
        <v>1</v>
      </c>
      <c r="P54" s="19">
        <v>1</v>
      </c>
      <c r="Q54" s="19">
        <v>1</v>
      </c>
      <c r="R54" s="11" t="s">
        <v>12</v>
      </c>
      <c r="S54" s="11" t="s">
        <v>21</v>
      </c>
      <c r="T54" s="20" t="s">
        <v>122</v>
      </c>
      <c r="U54" s="20"/>
      <c r="V54" s="16" t="s">
        <v>7</v>
      </c>
      <c r="W54" s="16" t="s">
        <v>6</v>
      </c>
      <c r="X54" s="16"/>
      <c r="Y54" s="21">
        <v>1E-3</v>
      </c>
      <c r="Z54" s="22">
        <v>5.9999999999999995E-4</v>
      </c>
      <c r="AA54" s="17" t="e">
        <f t="shared" si="6"/>
        <v>#VALUE!</v>
      </c>
      <c r="AB54" s="17" t="e">
        <f t="shared" si="7"/>
        <v>#VALUE!</v>
      </c>
      <c r="AC54" s="21" t="e">
        <f t="shared" si="8"/>
        <v>#VALUE!</v>
      </c>
    </row>
    <row r="55" spans="1:29" s="23" customFormat="1" ht="24.75" customHeight="1" x14ac:dyDescent="0.25">
      <c r="A55" s="11" t="s">
        <v>129</v>
      </c>
      <c r="B55" s="12" t="s">
        <v>130</v>
      </c>
      <c r="C55" s="11" t="s">
        <v>129</v>
      </c>
      <c r="D55" s="13" t="s">
        <v>2</v>
      </c>
      <c r="E55" s="14" t="s">
        <v>2</v>
      </c>
      <c r="F55" s="15" t="s">
        <v>965</v>
      </c>
      <c r="G55" s="16" t="s">
        <v>3</v>
      </c>
      <c r="H55" s="17">
        <v>11142.88</v>
      </c>
      <c r="I55" s="17">
        <v>9285.73</v>
      </c>
      <c r="J55" s="17">
        <f t="shared" si="0"/>
        <v>7131.4431999999997</v>
      </c>
      <c r="K55" s="17">
        <f t="shared" si="1"/>
        <v>8357.16</v>
      </c>
      <c r="L55" s="18">
        <f t="shared" si="2"/>
        <v>-532508540.89439994</v>
      </c>
      <c r="M55" s="18">
        <f t="shared" si="2"/>
        <v>-443756958.11489993</v>
      </c>
      <c r="N55" s="17" t="s">
        <v>9</v>
      </c>
      <c r="O55" s="19">
        <v>1</v>
      </c>
      <c r="P55" s="19">
        <v>1</v>
      </c>
      <c r="Q55" s="19">
        <v>1</v>
      </c>
      <c r="R55" s="11" t="s">
        <v>12</v>
      </c>
      <c r="S55" s="11" t="s">
        <v>21</v>
      </c>
      <c r="T55" s="20" t="s">
        <v>131</v>
      </c>
      <c r="U55" s="20"/>
      <c r="V55" s="16" t="s">
        <v>5</v>
      </c>
      <c r="W55" s="16" t="s">
        <v>6</v>
      </c>
      <c r="X55" s="16"/>
      <c r="Y55" s="21">
        <v>13.4</v>
      </c>
      <c r="Z55" s="22">
        <v>4.2750000000000003E-2</v>
      </c>
      <c r="AA55" s="17" t="e">
        <f t="shared" si="6"/>
        <v>#VALUE!</v>
      </c>
      <c r="AB55" s="17" t="e">
        <f t="shared" si="7"/>
        <v>#VALUE!</v>
      </c>
      <c r="AC55" s="21" t="e">
        <f t="shared" si="8"/>
        <v>#VALUE!</v>
      </c>
    </row>
    <row r="56" spans="1:29" s="23" customFormat="1" ht="24.75" customHeight="1" x14ac:dyDescent="0.25">
      <c r="A56" s="11" t="s">
        <v>132</v>
      </c>
      <c r="B56" s="12" t="s">
        <v>133</v>
      </c>
      <c r="C56" s="11" t="s">
        <v>132</v>
      </c>
      <c r="D56" s="13" t="s">
        <v>2</v>
      </c>
      <c r="E56" s="14" t="s">
        <v>2</v>
      </c>
      <c r="F56" s="15" t="s">
        <v>965</v>
      </c>
      <c r="G56" s="16" t="s">
        <v>3</v>
      </c>
      <c r="H56" s="17">
        <v>16184</v>
      </c>
      <c r="I56" s="17">
        <v>13486.67</v>
      </c>
      <c r="J56" s="17">
        <f t="shared" si="0"/>
        <v>10357.76</v>
      </c>
      <c r="K56" s="17">
        <f t="shared" si="1"/>
        <v>12138</v>
      </c>
      <c r="L56" s="18">
        <f t="shared" si="2"/>
        <v>-773419279.91999996</v>
      </c>
      <c r="M56" s="18">
        <f t="shared" si="2"/>
        <v>-644516225.89709997</v>
      </c>
      <c r="N56" s="17" t="s">
        <v>4</v>
      </c>
      <c r="O56" s="19">
        <v>1</v>
      </c>
      <c r="P56" s="19">
        <v>1</v>
      </c>
      <c r="Q56" s="19">
        <v>1</v>
      </c>
      <c r="R56" s="11" t="s">
        <v>12</v>
      </c>
      <c r="S56" s="11" t="s">
        <v>21</v>
      </c>
      <c r="T56" s="20" t="s">
        <v>131</v>
      </c>
      <c r="U56" s="20"/>
      <c r="V56" s="16" t="s">
        <v>5</v>
      </c>
      <c r="W56" s="16" t="s">
        <v>6</v>
      </c>
      <c r="X56" s="16"/>
      <c r="Y56" s="21">
        <v>20.5</v>
      </c>
      <c r="Z56" s="22">
        <v>6.1749999999999999E-2</v>
      </c>
      <c r="AA56" s="17" t="e">
        <f t="shared" si="6"/>
        <v>#VALUE!</v>
      </c>
      <c r="AB56" s="17" t="e">
        <f t="shared" si="7"/>
        <v>#VALUE!</v>
      </c>
      <c r="AC56" s="21" t="e">
        <f t="shared" si="8"/>
        <v>#VALUE!</v>
      </c>
    </row>
    <row r="57" spans="1:29" s="23" customFormat="1" ht="24.75" customHeight="1" x14ac:dyDescent="0.25">
      <c r="A57" s="11" t="s">
        <v>134</v>
      </c>
      <c r="B57" s="12" t="s">
        <v>135</v>
      </c>
      <c r="C57" s="11" t="s">
        <v>134</v>
      </c>
      <c r="D57" s="13" t="s">
        <v>2</v>
      </c>
      <c r="E57" s="14" t="s">
        <v>2</v>
      </c>
      <c r="F57" s="15" t="s">
        <v>965</v>
      </c>
      <c r="G57" s="16" t="s">
        <v>3</v>
      </c>
      <c r="H57" s="17">
        <v>21224</v>
      </c>
      <c r="I57" s="17">
        <v>17686.669999999998</v>
      </c>
      <c r="J57" s="17">
        <f t="shared" si="0"/>
        <v>13583.36</v>
      </c>
      <c r="K57" s="17">
        <f t="shared" si="1"/>
        <v>15918</v>
      </c>
      <c r="L57" s="18">
        <f t="shared" si="2"/>
        <v>-1014276495.1199999</v>
      </c>
      <c r="M57" s="18">
        <f t="shared" si="2"/>
        <v>-845230571.89709985</v>
      </c>
      <c r="N57" s="17" t="s">
        <v>9</v>
      </c>
      <c r="O57" s="19">
        <v>1</v>
      </c>
      <c r="P57" s="19">
        <v>1</v>
      </c>
      <c r="Q57" s="19">
        <v>1</v>
      </c>
      <c r="R57" s="11" t="s">
        <v>12</v>
      </c>
      <c r="S57" s="11" t="s">
        <v>21</v>
      </c>
      <c r="T57" s="20" t="s">
        <v>131</v>
      </c>
      <c r="U57" s="20"/>
      <c r="V57" s="16" t="s">
        <v>5</v>
      </c>
      <c r="W57" s="16" t="s">
        <v>6</v>
      </c>
      <c r="X57" s="16"/>
      <c r="Y57" s="21">
        <v>27.5</v>
      </c>
      <c r="Z57" s="22">
        <v>8.0750000000000002E-2</v>
      </c>
      <c r="AA57" s="17" t="e">
        <f t="shared" si="6"/>
        <v>#VALUE!</v>
      </c>
      <c r="AB57" s="17" t="e">
        <f t="shared" si="7"/>
        <v>#VALUE!</v>
      </c>
      <c r="AC57" s="21" t="e">
        <f t="shared" si="8"/>
        <v>#VALUE!</v>
      </c>
    </row>
    <row r="58" spans="1:29" s="23" customFormat="1" ht="24.75" customHeight="1" x14ac:dyDescent="0.25">
      <c r="A58" s="11" t="s">
        <v>136</v>
      </c>
      <c r="B58" s="12" t="s">
        <v>137</v>
      </c>
      <c r="C58" s="11" t="s">
        <v>136</v>
      </c>
      <c r="D58" s="13" t="s">
        <v>2</v>
      </c>
      <c r="E58" s="14" t="s">
        <v>2</v>
      </c>
      <c r="F58" s="15" t="s">
        <v>965</v>
      </c>
      <c r="G58" s="16" t="s">
        <v>3</v>
      </c>
      <c r="H58" s="17">
        <v>12214.72</v>
      </c>
      <c r="I58" s="17">
        <v>10178.93</v>
      </c>
      <c r="J58" s="17">
        <f t="shared" si="0"/>
        <v>7817.4207999999999</v>
      </c>
      <c r="K58" s="17">
        <f t="shared" si="1"/>
        <v>9161.0399999999991</v>
      </c>
      <c r="L58" s="18">
        <f t="shared" si="2"/>
        <v>-583730841.99359989</v>
      </c>
      <c r="M58" s="18">
        <f t="shared" si="2"/>
        <v>-486442209.0309</v>
      </c>
      <c r="N58" s="17" t="s">
        <v>9</v>
      </c>
      <c r="O58" s="19">
        <v>1</v>
      </c>
      <c r="P58" s="19">
        <v>1</v>
      </c>
      <c r="Q58" s="19">
        <v>1</v>
      </c>
      <c r="R58" s="11" t="s">
        <v>12</v>
      </c>
      <c r="S58" s="11" t="s">
        <v>21</v>
      </c>
      <c r="T58" s="20" t="s">
        <v>131</v>
      </c>
      <c r="U58" s="20"/>
      <c r="V58" s="16" t="s">
        <v>5</v>
      </c>
      <c r="W58" s="16" t="s">
        <v>6</v>
      </c>
      <c r="X58" s="16"/>
      <c r="Y58" s="21">
        <v>15</v>
      </c>
      <c r="Z58" s="22">
        <v>4.725E-2</v>
      </c>
      <c r="AA58" s="17" t="e">
        <f t="shared" si="6"/>
        <v>#VALUE!</v>
      </c>
      <c r="AB58" s="17" t="e">
        <f t="shared" si="7"/>
        <v>#VALUE!</v>
      </c>
      <c r="AC58" s="21" t="e">
        <f t="shared" si="8"/>
        <v>#VALUE!</v>
      </c>
    </row>
    <row r="59" spans="1:29" s="23" customFormat="1" ht="24.75" customHeight="1" x14ac:dyDescent="0.25">
      <c r="A59" s="11" t="s">
        <v>138</v>
      </c>
      <c r="B59" s="12" t="s">
        <v>139</v>
      </c>
      <c r="C59" s="11" t="s">
        <v>138</v>
      </c>
      <c r="D59" s="13" t="s">
        <v>2</v>
      </c>
      <c r="E59" s="14" t="s">
        <v>2</v>
      </c>
      <c r="F59" s="15" t="s">
        <v>965</v>
      </c>
      <c r="G59" s="16" t="s">
        <v>3</v>
      </c>
      <c r="H59" s="17">
        <v>17828.16</v>
      </c>
      <c r="I59" s="17">
        <v>14856.8</v>
      </c>
      <c r="J59" s="17">
        <f t="shared" si="0"/>
        <v>11410.0224</v>
      </c>
      <c r="K59" s="17">
        <f t="shared" si="1"/>
        <v>13371.119999999999</v>
      </c>
      <c r="L59" s="18">
        <f t="shared" si="2"/>
        <v>-851992255.90079999</v>
      </c>
      <c r="M59" s="18">
        <f t="shared" si="2"/>
        <v>-709993546.58399987</v>
      </c>
      <c r="N59" s="17" t="s">
        <v>4</v>
      </c>
      <c r="O59" s="19">
        <v>1</v>
      </c>
      <c r="P59" s="19">
        <v>1</v>
      </c>
      <c r="Q59" s="19">
        <v>1</v>
      </c>
      <c r="R59" s="11" t="s">
        <v>12</v>
      </c>
      <c r="S59" s="11" t="s">
        <v>21</v>
      </c>
      <c r="T59" s="20" t="s">
        <v>131</v>
      </c>
      <c r="U59" s="20"/>
      <c r="V59" s="16" t="s">
        <v>5</v>
      </c>
      <c r="W59" s="16" t="s">
        <v>6</v>
      </c>
      <c r="X59" s="16"/>
      <c r="Y59" s="21">
        <v>23</v>
      </c>
      <c r="Z59" s="22">
        <v>6.8250000000000005E-2</v>
      </c>
      <c r="AA59" s="17" t="e">
        <f t="shared" si="6"/>
        <v>#VALUE!</v>
      </c>
      <c r="AB59" s="17" t="e">
        <f t="shared" si="7"/>
        <v>#VALUE!</v>
      </c>
      <c r="AC59" s="21" t="e">
        <f t="shared" si="8"/>
        <v>#VALUE!</v>
      </c>
    </row>
    <row r="60" spans="1:29" s="23" customFormat="1" ht="24.75" customHeight="1" x14ac:dyDescent="0.25">
      <c r="A60" s="11" t="s">
        <v>140</v>
      </c>
      <c r="B60" s="12" t="s">
        <v>141</v>
      </c>
      <c r="C60" s="11" t="s">
        <v>140</v>
      </c>
      <c r="D60" s="13" t="s">
        <v>2</v>
      </c>
      <c r="E60" s="14" t="s">
        <v>2</v>
      </c>
      <c r="F60" s="15" t="s">
        <v>965</v>
      </c>
      <c r="G60" s="16" t="s">
        <v>3</v>
      </c>
      <c r="H60" s="17">
        <v>23450.560000000001</v>
      </c>
      <c r="I60" s="17">
        <v>19542.13</v>
      </c>
      <c r="J60" s="17">
        <f t="shared" si="0"/>
        <v>15008.358400000001</v>
      </c>
      <c r="K60" s="17">
        <f t="shared" si="1"/>
        <v>17587.920000000002</v>
      </c>
      <c r="L60" s="18">
        <f t="shared" si="2"/>
        <v>-1120681860.4128001</v>
      </c>
      <c r="M60" s="18">
        <f t="shared" si="2"/>
        <v>-933901391.04690003</v>
      </c>
      <c r="N60" s="17" t="s">
        <v>9</v>
      </c>
      <c r="O60" s="19">
        <v>1</v>
      </c>
      <c r="P60" s="19">
        <v>1</v>
      </c>
      <c r="Q60" s="19">
        <v>1</v>
      </c>
      <c r="R60" s="11" t="s">
        <v>12</v>
      </c>
      <c r="S60" s="11" t="s">
        <v>21</v>
      </c>
      <c r="T60" s="20" t="s">
        <v>131</v>
      </c>
      <c r="U60" s="20"/>
      <c r="V60" s="16" t="s">
        <v>5</v>
      </c>
      <c r="W60" s="16" t="s">
        <v>6</v>
      </c>
      <c r="X60" s="16"/>
      <c r="Y60" s="21">
        <v>31</v>
      </c>
      <c r="Z60" s="22">
        <v>8.9249999999999996E-2</v>
      </c>
      <c r="AA60" s="17" t="e">
        <f t="shared" si="6"/>
        <v>#VALUE!</v>
      </c>
      <c r="AB60" s="17" t="e">
        <f t="shared" si="7"/>
        <v>#VALUE!</v>
      </c>
      <c r="AC60" s="21" t="e">
        <f t="shared" si="8"/>
        <v>#VALUE!</v>
      </c>
    </row>
    <row r="61" spans="1:29" s="23" customFormat="1" ht="24.75" customHeight="1" x14ac:dyDescent="0.25">
      <c r="A61" s="11" t="s">
        <v>142</v>
      </c>
      <c r="B61" s="12" t="s">
        <v>143</v>
      </c>
      <c r="C61" s="11" t="s">
        <v>142</v>
      </c>
      <c r="D61" s="13" t="s">
        <v>2</v>
      </c>
      <c r="E61" s="14" t="s">
        <v>2</v>
      </c>
      <c r="F61" s="15" t="s">
        <v>965</v>
      </c>
      <c r="G61" s="16" t="s">
        <v>3</v>
      </c>
      <c r="H61" s="17">
        <v>11536</v>
      </c>
      <c r="I61" s="17">
        <v>9613.33</v>
      </c>
      <c r="J61" s="17">
        <f t="shared" si="0"/>
        <v>7383.04</v>
      </c>
      <c r="K61" s="17">
        <f t="shared" si="1"/>
        <v>8652</v>
      </c>
      <c r="L61" s="18">
        <f t="shared" si="2"/>
        <v>-551295403.67999995</v>
      </c>
      <c r="M61" s="18">
        <f t="shared" si="2"/>
        <v>-459412677.10289997</v>
      </c>
      <c r="N61" s="17" t="s">
        <v>9</v>
      </c>
      <c r="O61" s="19">
        <v>1</v>
      </c>
      <c r="P61" s="19">
        <v>1</v>
      </c>
      <c r="Q61" s="19">
        <v>1</v>
      </c>
      <c r="R61" s="11" t="s">
        <v>12</v>
      </c>
      <c r="S61" s="11" t="s">
        <v>21</v>
      </c>
      <c r="T61" s="20" t="s">
        <v>131</v>
      </c>
      <c r="U61" s="20"/>
      <c r="V61" s="16" t="s">
        <v>7</v>
      </c>
      <c r="W61" s="16" t="s">
        <v>6</v>
      </c>
      <c r="X61" s="16"/>
      <c r="Y61" s="21">
        <v>16</v>
      </c>
      <c r="Z61" s="22">
        <v>5.1749999999999997E-2</v>
      </c>
      <c r="AA61" s="17" t="e">
        <f t="shared" si="6"/>
        <v>#VALUE!</v>
      </c>
      <c r="AB61" s="17" t="e">
        <f t="shared" si="7"/>
        <v>#VALUE!</v>
      </c>
      <c r="AC61" s="21" t="e">
        <f t="shared" si="8"/>
        <v>#VALUE!</v>
      </c>
    </row>
    <row r="62" spans="1:29" s="23" customFormat="1" ht="24.75" customHeight="1" x14ac:dyDescent="0.25">
      <c r="A62" s="11" t="s">
        <v>144</v>
      </c>
      <c r="B62" s="12" t="s">
        <v>145</v>
      </c>
      <c r="C62" s="11" t="s">
        <v>144</v>
      </c>
      <c r="D62" s="13" t="s">
        <v>2</v>
      </c>
      <c r="E62" s="14" t="s">
        <v>2</v>
      </c>
      <c r="F62" s="15" t="s">
        <v>965</v>
      </c>
      <c r="G62" s="16" t="s">
        <v>3</v>
      </c>
      <c r="H62" s="17">
        <v>19454.400000000001</v>
      </c>
      <c r="I62" s="17">
        <v>16212</v>
      </c>
      <c r="J62" s="17">
        <f t="shared" si="0"/>
        <v>12450.816000000003</v>
      </c>
      <c r="K62" s="17">
        <f t="shared" si="1"/>
        <v>14590.800000000001</v>
      </c>
      <c r="L62" s="18">
        <f t="shared" si="2"/>
        <v>-929708850.67200005</v>
      </c>
      <c r="M62" s="18">
        <f t="shared" si="2"/>
        <v>-774757375.55999994</v>
      </c>
      <c r="N62" s="17" t="s">
        <v>4</v>
      </c>
      <c r="O62" s="19">
        <v>1</v>
      </c>
      <c r="P62" s="19">
        <v>1</v>
      </c>
      <c r="Q62" s="19">
        <v>1</v>
      </c>
      <c r="R62" s="11" t="s">
        <v>12</v>
      </c>
      <c r="S62" s="11" t="s">
        <v>21</v>
      </c>
      <c r="T62" s="20" t="s">
        <v>131</v>
      </c>
      <c r="U62" s="20"/>
      <c r="V62" s="16" t="s">
        <v>7</v>
      </c>
      <c r="W62" s="16" t="s">
        <v>6</v>
      </c>
      <c r="X62" s="16"/>
      <c r="Y62" s="21">
        <v>25</v>
      </c>
      <c r="Z62" s="22">
        <v>7.4749999999999997E-2</v>
      </c>
      <c r="AA62" s="17" t="e">
        <f t="shared" si="6"/>
        <v>#VALUE!</v>
      </c>
      <c r="AB62" s="17" t="e">
        <f t="shared" si="7"/>
        <v>#VALUE!</v>
      </c>
      <c r="AC62" s="21" t="e">
        <f t="shared" si="8"/>
        <v>#VALUE!</v>
      </c>
    </row>
    <row r="63" spans="1:29" s="23" customFormat="1" ht="24.75" customHeight="1" x14ac:dyDescent="0.25">
      <c r="A63" s="11" t="s">
        <v>146</v>
      </c>
      <c r="B63" s="12" t="s">
        <v>147</v>
      </c>
      <c r="C63" s="11" t="s">
        <v>146</v>
      </c>
      <c r="D63" s="13" t="s">
        <v>2</v>
      </c>
      <c r="E63" s="14" t="s">
        <v>2</v>
      </c>
      <c r="F63" s="15" t="s">
        <v>965</v>
      </c>
      <c r="G63" s="16" t="s">
        <v>3</v>
      </c>
      <c r="H63" s="17">
        <v>25555.040000000001</v>
      </c>
      <c r="I63" s="17">
        <v>21295.87</v>
      </c>
      <c r="J63" s="17">
        <f t="shared" si="0"/>
        <v>16355.2256</v>
      </c>
      <c r="K63" s="17">
        <f t="shared" si="1"/>
        <v>19166.28</v>
      </c>
      <c r="L63" s="18">
        <f t="shared" si="2"/>
        <v>-1221253128.7151999</v>
      </c>
      <c r="M63" s="18">
        <f t="shared" si="2"/>
        <v>-1017711099.8930999</v>
      </c>
      <c r="N63" s="17" t="s">
        <v>9</v>
      </c>
      <c r="O63" s="19">
        <v>1</v>
      </c>
      <c r="P63" s="19">
        <v>1</v>
      </c>
      <c r="Q63" s="19">
        <v>1</v>
      </c>
      <c r="R63" s="11" t="s">
        <v>12</v>
      </c>
      <c r="S63" s="11" t="s">
        <v>21</v>
      </c>
      <c r="T63" s="20" t="s">
        <v>131</v>
      </c>
      <c r="U63" s="20"/>
      <c r="V63" s="16" t="s">
        <v>7</v>
      </c>
      <c r="W63" s="16" t="s">
        <v>6</v>
      </c>
      <c r="X63" s="16"/>
      <c r="Y63" s="21">
        <v>33</v>
      </c>
      <c r="Z63" s="22">
        <v>9.7750000000000004E-2</v>
      </c>
      <c r="AA63" s="17" t="e">
        <f t="shared" si="6"/>
        <v>#VALUE!</v>
      </c>
      <c r="AB63" s="17" t="e">
        <f t="shared" si="7"/>
        <v>#VALUE!</v>
      </c>
      <c r="AC63" s="21" t="e">
        <f t="shared" si="8"/>
        <v>#VALUE!</v>
      </c>
    </row>
    <row r="64" spans="1:29" s="23" customFormat="1" ht="24.75" customHeight="1" x14ac:dyDescent="0.25">
      <c r="A64" s="11" t="s">
        <v>148</v>
      </c>
      <c r="B64" s="12" t="s">
        <v>149</v>
      </c>
      <c r="C64" s="11" t="s">
        <v>148</v>
      </c>
      <c r="D64" s="13" t="s">
        <v>2</v>
      </c>
      <c r="E64" s="14" t="s">
        <v>2</v>
      </c>
      <c r="F64" s="15" t="s">
        <v>965</v>
      </c>
      <c r="G64" s="16" t="s">
        <v>3</v>
      </c>
      <c r="H64" s="17">
        <v>2056.3200000000002</v>
      </c>
      <c r="I64" s="17">
        <v>1713.6</v>
      </c>
      <c r="J64" s="17">
        <f t="shared" si="0"/>
        <v>1316.0448000000001</v>
      </c>
      <c r="K64" s="17">
        <f t="shared" si="1"/>
        <v>1542.2400000000002</v>
      </c>
      <c r="L64" s="18">
        <f t="shared" si="2"/>
        <v>-98269743.801600009</v>
      </c>
      <c r="M64" s="18">
        <f t="shared" si="2"/>
        <v>-81891453.167999998</v>
      </c>
      <c r="N64" s="17" t="s">
        <v>9</v>
      </c>
      <c r="O64" s="19">
        <v>1</v>
      </c>
      <c r="P64" s="19">
        <v>1</v>
      </c>
      <c r="Q64" s="19">
        <v>1</v>
      </c>
      <c r="R64" s="11" t="s">
        <v>12</v>
      </c>
      <c r="S64" s="11" t="s">
        <v>21</v>
      </c>
      <c r="T64" s="20" t="s">
        <v>131</v>
      </c>
      <c r="U64" s="20"/>
      <c r="V64" s="16" t="s">
        <v>5</v>
      </c>
      <c r="W64" s="16" t="s">
        <v>6</v>
      </c>
      <c r="X64" s="16"/>
      <c r="Y64" s="21">
        <v>1.5</v>
      </c>
      <c r="Z64" s="22">
        <v>7.8750000000000001E-3</v>
      </c>
      <c r="AA64" s="17" t="e">
        <f t="shared" si="6"/>
        <v>#VALUE!</v>
      </c>
      <c r="AB64" s="17" t="e">
        <f t="shared" si="7"/>
        <v>#VALUE!</v>
      </c>
      <c r="AC64" s="21" t="e">
        <f t="shared" si="8"/>
        <v>#VALUE!</v>
      </c>
    </row>
    <row r="65" spans="1:29" s="23" customFormat="1" ht="24.75" customHeight="1" x14ac:dyDescent="0.25">
      <c r="A65" s="11" t="s">
        <v>150</v>
      </c>
      <c r="B65" s="12" t="s">
        <v>151</v>
      </c>
      <c r="C65" s="11" t="s">
        <v>150</v>
      </c>
      <c r="D65" s="13" t="s">
        <v>2</v>
      </c>
      <c r="E65" s="14" t="s">
        <v>2</v>
      </c>
      <c r="F65" s="15" t="s">
        <v>965</v>
      </c>
      <c r="G65" s="16" t="s">
        <v>3</v>
      </c>
      <c r="H65" s="17">
        <v>2770.88</v>
      </c>
      <c r="I65" s="17">
        <v>2309.0700000000002</v>
      </c>
      <c r="J65" s="17">
        <f t="shared" si="0"/>
        <v>1773.3632</v>
      </c>
      <c r="K65" s="17">
        <f t="shared" si="1"/>
        <v>2078.16</v>
      </c>
      <c r="L65" s="18">
        <f t="shared" si="2"/>
        <v>-132417944.5344</v>
      </c>
      <c r="M65" s="18">
        <f t="shared" si="2"/>
        <v>-110348446.4091</v>
      </c>
      <c r="N65" s="17" t="s">
        <v>9</v>
      </c>
      <c r="O65" s="19">
        <v>1</v>
      </c>
      <c r="P65" s="19">
        <v>1</v>
      </c>
      <c r="Q65" s="19">
        <v>1</v>
      </c>
      <c r="R65" s="11" t="s">
        <v>12</v>
      </c>
      <c r="S65" s="11" t="s">
        <v>21</v>
      </c>
      <c r="T65" s="20" t="s">
        <v>131</v>
      </c>
      <c r="U65" s="20"/>
      <c r="V65" s="16" t="s">
        <v>5</v>
      </c>
      <c r="W65" s="16" t="s">
        <v>6</v>
      </c>
      <c r="X65" s="16"/>
      <c r="Y65" s="21">
        <v>2.5</v>
      </c>
      <c r="Z65" s="22">
        <v>1.1375E-2</v>
      </c>
      <c r="AA65" s="17" t="e">
        <f t="shared" si="6"/>
        <v>#VALUE!</v>
      </c>
      <c r="AB65" s="17" t="e">
        <f t="shared" si="7"/>
        <v>#VALUE!</v>
      </c>
      <c r="AC65" s="21" t="e">
        <f t="shared" si="8"/>
        <v>#VALUE!</v>
      </c>
    </row>
    <row r="66" spans="1:29" s="23" customFormat="1" ht="24.75" customHeight="1" x14ac:dyDescent="0.25">
      <c r="A66" s="11" t="s">
        <v>152</v>
      </c>
      <c r="B66" s="12" t="s">
        <v>153</v>
      </c>
      <c r="C66" s="11" t="s">
        <v>152</v>
      </c>
      <c r="D66" s="13" t="s">
        <v>2</v>
      </c>
      <c r="E66" s="14" t="s">
        <v>2</v>
      </c>
      <c r="F66" s="15" t="s">
        <v>965</v>
      </c>
      <c r="G66" s="16" t="s">
        <v>3</v>
      </c>
      <c r="H66" s="17">
        <v>3485.44</v>
      </c>
      <c r="I66" s="17">
        <v>2904.53</v>
      </c>
      <c r="J66" s="17">
        <f t="shared" si="0"/>
        <v>2230.6815999999999</v>
      </c>
      <c r="K66" s="17">
        <f t="shared" si="1"/>
        <v>2614.08</v>
      </c>
      <c r="L66" s="18">
        <f t="shared" si="2"/>
        <v>-166566145.26719999</v>
      </c>
      <c r="M66" s="18">
        <f t="shared" si="2"/>
        <v>-138804961.75890002</v>
      </c>
      <c r="N66" s="17" t="s">
        <v>9</v>
      </c>
      <c r="O66" s="19">
        <v>1</v>
      </c>
      <c r="P66" s="19">
        <v>1</v>
      </c>
      <c r="Q66" s="19">
        <v>1</v>
      </c>
      <c r="R66" s="11" t="s">
        <v>12</v>
      </c>
      <c r="S66" s="11" t="s">
        <v>21</v>
      </c>
      <c r="T66" s="20" t="s">
        <v>131</v>
      </c>
      <c r="U66" s="20"/>
      <c r="V66" s="16" t="s">
        <v>5</v>
      </c>
      <c r="W66" s="16" t="s">
        <v>6</v>
      </c>
      <c r="X66" s="16"/>
      <c r="Y66" s="21">
        <v>3</v>
      </c>
      <c r="Z66" s="22">
        <v>1.4874999999999999E-2</v>
      </c>
      <c r="AA66" s="17" t="e">
        <f t="shared" si="6"/>
        <v>#VALUE!</v>
      </c>
      <c r="AB66" s="17" t="e">
        <f t="shared" si="7"/>
        <v>#VALUE!</v>
      </c>
      <c r="AC66" s="21" t="e">
        <f t="shared" si="8"/>
        <v>#VALUE!</v>
      </c>
    </row>
    <row r="67" spans="1:29" s="23" customFormat="1" ht="24.75" customHeight="1" x14ac:dyDescent="0.25">
      <c r="A67" s="11" t="s">
        <v>154</v>
      </c>
      <c r="B67" s="12" t="s">
        <v>155</v>
      </c>
      <c r="C67" s="11" t="s">
        <v>154</v>
      </c>
      <c r="D67" s="13" t="s">
        <v>2</v>
      </c>
      <c r="E67" s="14" t="s">
        <v>2</v>
      </c>
      <c r="F67" s="15" t="s">
        <v>965</v>
      </c>
      <c r="G67" s="16" t="s">
        <v>3</v>
      </c>
      <c r="H67" s="17">
        <v>3160.64</v>
      </c>
      <c r="I67" s="17">
        <v>2633.87</v>
      </c>
      <c r="J67" s="17">
        <f t="shared" ref="J67:J130" si="9">H67-(36 *H67/100)</f>
        <v>2022.8096</v>
      </c>
      <c r="K67" s="17">
        <f t="shared" ref="K67:K130" si="10">H67-(25 *H67/100)</f>
        <v>2370.48</v>
      </c>
      <c r="L67" s="18">
        <f t="shared" ref="L67:M130" si="11">IF(H67="","",H67*(1-$H$3))</f>
        <v>-151044235.8432</v>
      </c>
      <c r="M67" s="18">
        <f t="shared" si="11"/>
        <v>-125870355.83309999</v>
      </c>
      <c r="N67" s="17" t="s">
        <v>4</v>
      </c>
      <c r="O67" s="19">
        <v>1</v>
      </c>
      <c r="P67" s="19">
        <v>1</v>
      </c>
      <c r="Q67" s="19">
        <v>1</v>
      </c>
      <c r="R67" s="11" t="s">
        <v>12</v>
      </c>
      <c r="S67" s="11" t="s">
        <v>21</v>
      </c>
      <c r="T67" s="20" t="s">
        <v>131</v>
      </c>
      <c r="U67" s="20"/>
      <c r="V67" s="16" t="s">
        <v>5</v>
      </c>
      <c r="W67" s="16" t="s">
        <v>6</v>
      </c>
      <c r="X67" s="16"/>
      <c r="Y67" s="21">
        <v>3.2</v>
      </c>
      <c r="Z67" s="22">
        <v>7.8750000000000001E-3</v>
      </c>
      <c r="AA67" s="17" t="e">
        <f t="shared" ref="AA67:AA98" si="12">IF(OR(F67="",L67=""),"",F67*L67)</f>
        <v>#VALUE!</v>
      </c>
      <c r="AB67" s="17" t="e">
        <f t="shared" ref="AB67:AB98" si="13">IF(OR(F67="",Y67=""),"",Y67*F67)</f>
        <v>#VALUE!</v>
      </c>
      <c r="AC67" s="21" t="e">
        <f t="shared" ref="AC67:AC98" si="14">IF(OR(F67="",Z67=""),"",F67*Z67)</f>
        <v>#VALUE!</v>
      </c>
    </row>
    <row r="68" spans="1:29" s="23" customFormat="1" ht="24.75" customHeight="1" x14ac:dyDescent="0.25">
      <c r="A68" s="11" t="s">
        <v>156</v>
      </c>
      <c r="B68" s="12" t="s">
        <v>157</v>
      </c>
      <c r="C68" s="11" t="s">
        <v>156</v>
      </c>
      <c r="D68" s="13" t="s">
        <v>2</v>
      </c>
      <c r="E68" s="14" t="s">
        <v>2</v>
      </c>
      <c r="F68" s="15" t="s">
        <v>965</v>
      </c>
      <c r="G68" s="16" t="s">
        <v>3</v>
      </c>
      <c r="H68" s="17">
        <v>4469.92</v>
      </c>
      <c r="I68" s="17">
        <v>3724.93</v>
      </c>
      <c r="J68" s="17">
        <f t="shared" si="9"/>
        <v>2860.7488000000003</v>
      </c>
      <c r="K68" s="17">
        <f t="shared" si="10"/>
        <v>3352.44</v>
      </c>
      <c r="L68" s="18">
        <f t="shared" si="11"/>
        <v>-213613587.96959999</v>
      </c>
      <c r="M68" s="18">
        <f t="shared" si="11"/>
        <v>-178011164.01089999</v>
      </c>
      <c r="N68" s="17" t="s">
        <v>4</v>
      </c>
      <c r="O68" s="19">
        <v>1</v>
      </c>
      <c r="P68" s="19">
        <v>1</v>
      </c>
      <c r="Q68" s="19">
        <v>1</v>
      </c>
      <c r="R68" s="11" t="s">
        <v>12</v>
      </c>
      <c r="S68" s="11" t="s">
        <v>21</v>
      </c>
      <c r="T68" s="20" t="s">
        <v>131</v>
      </c>
      <c r="U68" s="20"/>
      <c r="V68" s="16" t="s">
        <v>5</v>
      </c>
      <c r="W68" s="16" t="s">
        <v>6</v>
      </c>
      <c r="X68" s="16"/>
      <c r="Y68" s="21">
        <v>4.4000000000000004</v>
      </c>
      <c r="Z68" s="22">
        <v>1.1375E-2</v>
      </c>
      <c r="AA68" s="17" t="e">
        <f t="shared" si="12"/>
        <v>#VALUE!</v>
      </c>
      <c r="AB68" s="17" t="e">
        <f t="shared" si="13"/>
        <v>#VALUE!</v>
      </c>
      <c r="AC68" s="21" t="e">
        <f t="shared" si="14"/>
        <v>#VALUE!</v>
      </c>
    </row>
    <row r="69" spans="1:29" s="23" customFormat="1" ht="24.75" customHeight="1" x14ac:dyDescent="0.25">
      <c r="A69" s="11" t="s">
        <v>158</v>
      </c>
      <c r="B69" s="12" t="s">
        <v>159</v>
      </c>
      <c r="C69" s="11" t="s">
        <v>158</v>
      </c>
      <c r="D69" s="13" t="s">
        <v>2</v>
      </c>
      <c r="E69" s="14" t="s">
        <v>2</v>
      </c>
      <c r="F69" s="15" t="s">
        <v>965</v>
      </c>
      <c r="G69" s="16" t="s">
        <v>3</v>
      </c>
      <c r="H69" s="17">
        <v>5809.44</v>
      </c>
      <c r="I69" s="17">
        <v>4841.2</v>
      </c>
      <c r="J69" s="17">
        <f t="shared" si="9"/>
        <v>3718.0415999999996</v>
      </c>
      <c r="K69" s="17">
        <f t="shared" si="10"/>
        <v>4357.08</v>
      </c>
      <c r="L69" s="18">
        <f t="shared" si="11"/>
        <v>-277628083.38719994</v>
      </c>
      <c r="M69" s="18">
        <f t="shared" si="11"/>
        <v>-231356736.15599999</v>
      </c>
      <c r="N69" s="17" t="s">
        <v>9</v>
      </c>
      <c r="O69" s="19">
        <v>1</v>
      </c>
      <c r="P69" s="19">
        <v>1</v>
      </c>
      <c r="Q69" s="19">
        <v>1</v>
      </c>
      <c r="R69" s="11" t="s">
        <v>12</v>
      </c>
      <c r="S69" s="11" t="s">
        <v>21</v>
      </c>
      <c r="T69" s="20" t="s">
        <v>131</v>
      </c>
      <c r="U69" s="20"/>
      <c r="V69" s="16" t="s">
        <v>5</v>
      </c>
      <c r="W69" s="16" t="s">
        <v>6</v>
      </c>
      <c r="X69" s="16"/>
      <c r="Y69" s="21">
        <v>6</v>
      </c>
      <c r="Z69" s="22">
        <v>1.4874999999999999E-2</v>
      </c>
      <c r="AA69" s="17" t="e">
        <f t="shared" si="12"/>
        <v>#VALUE!</v>
      </c>
      <c r="AB69" s="17" t="e">
        <f t="shared" si="13"/>
        <v>#VALUE!</v>
      </c>
      <c r="AC69" s="21" t="e">
        <f t="shared" si="14"/>
        <v>#VALUE!</v>
      </c>
    </row>
    <row r="70" spans="1:29" s="23" customFormat="1" ht="24.75" customHeight="1" x14ac:dyDescent="0.25">
      <c r="A70" s="11" t="s">
        <v>160</v>
      </c>
      <c r="B70" s="12" t="s">
        <v>161</v>
      </c>
      <c r="C70" s="11" t="s">
        <v>160</v>
      </c>
      <c r="D70" s="13" t="s">
        <v>2</v>
      </c>
      <c r="E70" s="14" t="s">
        <v>2</v>
      </c>
      <c r="F70" s="15" t="s">
        <v>965</v>
      </c>
      <c r="G70" s="16" t="s">
        <v>3</v>
      </c>
      <c r="H70" s="17">
        <v>4261.6000000000004</v>
      </c>
      <c r="I70" s="17">
        <v>3551.33</v>
      </c>
      <c r="J70" s="17">
        <f t="shared" si="9"/>
        <v>2727.424</v>
      </c>
      <c r="K70" s="17">
        <f t="shared" si="10"/>
        <v>3196.2000000000003</v>
      </c>
      <c r="L70" s="18">
        <f t="shared" si="11"/>
        <v>-203658156.40799999</v>
      </c>
      <c r="M70" s="18">
        <f t="shared" si="11"/>
        <v>-169714971.0429</v>
      </c>
      <c r="N70" s="17" t="s">
        <v>4</v>
      </c>
      <c r="O70" s="19">
        <v>1</v>
      </c>
      <c r="P70" s="19">
        <v>1</v>
      </c>
      <c r="Q70" s="19">
        <v>1</v>
      </c>
      <c r="R70" s="11" t="s">
        <v>12</v>
      </c>
      <c r="S70" s="11" t="s">
        <v>21</v>
      </c>
      <c r="T70" s="20" t="s">
        <v>131</v>
      </c>
      <c r="U70" s="20"/>
      <c r="V70" s="16" t="s">
        <v>5</v>
      </c>
      <c r="W70" s="16" t="s">
        <v>6</v>
      </c>
      <c r="X70" s="16"/>
      <c r="Y70" s="21">
        <v>4.4000000000000004</v>
      </c>
      <c r="Z70" s="22">
        <v>2.1375000000000002E-2</v>
      </c>
      <c r="AA70" s="17" t="e">
        <f t="shared" si="12"/>
        <v>#VALUE!</v>
      </c>
      <c r="AB70" s="17" t="e">
        <f t="shared" si="13"/>
        <v>#VALUE!</v>
      </c>
      <c r="AC70" s="21" t="e">
        <f t="shared" si="14"/>
        <v>#VALUE!</v>
      </c>
    </row>
    <row r="71" spans="1:29" s="23" customFormat="1" ht="24.75" customHeight="1" x14ac:dyDescent="0.25">
      <c r="A71" s="11" t="s">
        <v>162</v>
      </c>
      <c r="B71" s="12" t="s">
        <v>163</v>
      </c>
      <c r="C71" s="11" t="s">
        <v>162</v>
      </c>
      <c r="D71" s="13" t="s">
        <v>2</v>
      </c>
      <c r="E71" s="14" t="s">
        <v>2</v>
      </c>
      <c r="F71" s="15" t="s">
        <v>965</v>
      </c>
      <c r="G71" s="16" t="s">
        <v>3</v>
      </c>
      <c r="H71" s="17">
        <v>6256.32</v>
      </c>
      <c r="I71" s="17">
        <v>5213.6000000000004</v>
      </c>
      <c r="J71" s="17">
        <f t="shared" si="9"/>
        <v>4004.0447999999997</v>
      </c>
      <c r="K71" s="17">
        <f t="shared" si="10"/>
        <v>4692.24</v>
      </c>
      <c r="L71" s="18">
        <f t="shared" si="11"/>
        <v>-298984089.80159998</v>
      </c>
      <c r="M71" s="18">
        <f t="shared" si="11"/>
        <v>-249153408.16800001</v>
      </c>
      <c r="N71" s="17" t="s">
        <v>9</v>
      </c>
      <c r="O71" s="19">
        <v>1</v>
      </c>
      <c r="P71" s="19">
        <v>1</v>
      </c>
      <c r="Q71" s="19">
        <v>1</v>
      </c>
      <c r="R71" s="11" t="s">
        <v>12</v>
      </c>
      <c r="S71" s="11" t="s">
        <v>21</v>
      </c>
      <c r="T71" s="20" t="s">
        <v>131</v>
      </c>
      <c r="U71" s="20"/>
      <c r="V71" s="16" t="s">
        <v>5</v>
      </c>
      <c r="W71" s="16" t="s">
        <v>6</v>
      </c>
      <c r="X71" s="16"/>
      <c r="Y71" s="21">
        <v>6.3</v>
      </c>
      <c r="Z71" s="22">
        <v>3.0875E-2</v>
      </c>
      <c r="AA71" s="17" t="e">
        <f t="shared" si="12"/>
        <v>#VALUE!</v>
      </c>
      <c r="AB71" s="17" t="e">
        <f t="shared" si="13"/>
        <v>#VALUE!</v>
      </c>
      <c r="AC71" s="21" t="e">
        <f t="shared" si="14"/>
        <v>#VALUE!</v>
      </c>
    </row>
    <row r="72" spans="1:29" s="23" customFormat="1" ht="24.75" customHeight="1" x14ac:dyDescent="0.25">
      <c r="A72" s="11" t="s">
        <v>164</v>
      </c>
      <c r="B72" s="12" t="s">
        <v>165</v>
      </c>
      <c r="C72" s="11" t="s">
        <v>164</v>
      </c>
      <c r="D72" s="13" t="s">
        <v>2</v>
      </c>
      <c r="E72" s="14" t="s">
        <v>2</v>
      </c>
      <c r="F72" s="15" t="s">
        <v>965</v>
      </c>
      <c r="G72" s="16" t="s">
        <v>3</v>
      </c>
      <c r="H72" s="17">
        <v>8223.0400000000009</v>
      </c>
      <c r="I72" s="17">
        <v>6852.53</v>
      </c>
      <c r="J72" s="17">
        <f t="shared" si="9"/>
        <v>5262.7456000000002</v>
      </c>
      <c r="K72" s="17">
        <f t="shared" si="10"/>
        <v>6167.2800000000007</v>
      </c>
      <c r="L72" s="18">
        <f t="shared" si="11"/>
        <v>-392971927.55520004</v>
      </c>
      <c r="M72" s="18">
        <f t="shared" si="11"/>
        <v>-327476446.9989</v>
      </c>
      <c r="N72" s="17" t="s">
        <v>9</v>
      </c>
      <c r="O72" s="19">
        <v>1</v>
      </c>
      <c r="P72" s="19">
        <v>1</v>
      </c>
      <c r="Q72" s="19">
        <v>1</v>
      </c>
      <c r="R72" s="11" t="s">
        <v>12</v>
      </c>
      <c r="S72" s="11" t="s">
        <v>21</v>
      </c>
      <c r="T72" s="20" t="s">
        <v>131</v>
      </c>
      <c r="U72" s="20"/>
      <c r="V72" s="16" t="s">
        <v>5</v>
      </c>
      <c r="W72" s="16" t="s">
        <v>6</v>
      </c>
      <c r="X72" s="16"/>
      <c r="Y72" s="21">
        <v>8.4</v>
      </c>
      <c r="Z72" s="22">
        <v>4.0375000000000001E-2</v>
      </c>
      <c r="AA72" s="17" t="e">
        <f t="shared" si="12"/>
        <v>#VALUE!</v>
      </c>
      <c r="AB72" s="17" t="e">
        <f t="shared" si="13"/>
        <v>#VALUE!</v>
      </c>
      <c r="AC72" s="21" t="e">
        <f t="shared" si="14"/>
        <v>#VALUE!</v>
      </c>
    </row>
    <row r="73" spans="1:29" s="23" customFormat="1" ht="24.75" customHeight="1" x14ac:dyDescent="0.25">
      <c r="A73" s="11" t="s">
        <v>166</v>
      </c>
      <c r="B73" s="12" t="s">
        <v>167</v>
      </c>
      <c r="C73" s="11" t="s">
        <v>166</v>
      </c>
      <c r="D73" s="13" t="s">
        <v>2</v>
      </c>
      <c r="E73" s="14" t="s">
        <v>2</v>
      </c>
      <c r="F73" s="15" t="s">
        <v>965</v>
      </c>
      <c r="G73" s="16" t="s">
        <v>11</v>
      </c>
      <c r="H73" s="17">
        <v>456.96</v>
      </c>
      <c r="I73" s="17">
        <v>380.8</v>
      </c>
      <c r="J73" s="17">
        <f t="shared" si="9"/>
        <v>292.45439999999996</v>
      </c>
      <c r="K73" s="17">
        <f t="shared" si="10"/>
        <v>342.71999999999997</v>
      </c>
      <c r="L73" s="18">
        <f t="shared" si="11"/>
        <v>-21837720.844799999</v>
      </c>
      <c r="M73" s="18">
        <f t="shared" si="11"/>
        <v>-18198100.704</v>
      </c>
      <c r="N73" s="17" t="s">
        <v>9</v>
      </c>
      <c r="O73" s="19">
        <v>1</v>
      </c>
      <c r="P73" s="19">
        <v>1</v>
      </c>
      <c r="Q73" s="19">
        <v>1</v>
      </c>
      <c r="R73" s="11" t="s">
        <v>12</v>
      </c>
      <c r="S73" s="11" t="s">
        <v>21</v>
      </c>
      <c r="T73" s="20" t="s">
        <v>168</v>
      </c>
      <c r="U73" s="20"/>
      <c r="V73" s="16" t="s">
        <v>7</v>
      </c>
      <c r="W73" s="16" t="s">
        <v>6</v>
      </c>
      <c r="X73" s="16"/>
      <c r="Y73" s="21">
        <v>0.1</v>
      </c>
      <c r="Z73" s="22">
        <v>9.0000000000000006E-5</v>
      </c>
      <c r="AA73" s="17" t="e">
        <f t="shared" si="12"/>
        <v>#VALUE!</v>
      </c>
      <c r="AB73" s="17" t="e">
        <f t="shared" si="13"/>
        <v>#VALUE!</v>
      </c>
      <c r="AC73" s="21" t="e">
        <f t="shared" si="14"/>
        <v>#VALUE!</v>
      </c>
    </row>
    <row r="74" spans="1:29" s="23" customFormat="1" ht="24.75" customHeight="1" x14ac:dyDescent="0.25">
      <c r="A74" s="11" t="s">
        <v>169</v>
      </c>
      <c r="B74" s="12" t="s">
        <v>170</v>
      </c>
      <c r="C74" s="11" t="s">
        <v>169</v>
      </c>
      <c r="D74" s="13" t="s">
        <v>2</v>
      </c>
      <c r="E74" s="14" t="s">
        <v>2</v>
      </c>
      <c r="F74" s="15" t="s">
        <v>965</v>
      </c>
      <c r="G74" s="16" t="s">
        <v>11</v>
      </c>
      <c r="H74" s="17">
        <v>2338.56</v>
      </c>
      <c r="I74" s="17">
        <v>1948.8</v>
      </c>
      <c r="J74" s="17">
        <f t="shared" si="9"/>
        <v>1496.6783999999998</v>
      </c>
      <c r="K74" s="17">
        <f t="shared" si="10"/>
        <v>1753.92</v>
      </c>
      <c r="L74" s="18">
        <f t="shared" si="11"/>
        <v>-111757747.8528</v>
      </c>
      <c r="M74" s="18">
        <f t="shared" si="11"/>
        <v>-93131456.544</v>
      </c>
      <c r="N74" s="17" t="s">
        <v>4</v>
      </c>
      <c r="O74" s="19">
        <v>1</v>
      </c>
      <c r="P74" s="19">
        <v>1</v>
      </c>
      <c r="Q74" s="19">
        <v>1</v>
      </c>
      <c r="R74" s="11" t="s">
        <v>12</v>
      </c>
      <c r="S74" s="11" t="s">
        <v>21</v>
      </c>
      <c r="T74" s="20" t="s">
        <v>168</v>
      </c>
      <c r="U74" s="20"/>
      <c r="V74" s="16" t="s">
        <v>5</v>
      </c>
      <c r="W74" s="16" t="s">
        <v>6</v>
      </c>
      <c r="X74" s="16"/>
      <c r="Y74" s="21">
        <v>1.55</v>
      </c>
      <c r="Z74" s="22">
        <v>1.678E-3</v>
      </c>
      <c r="AA74" s="17" t="e">
        <f t="shared" si="12"/>
        <v>#VALUE!</v>
      </c>
      <c r="AB74" s="17" t="e">
        <f t="shared" si="13"/>
        <v>#VALUE!</v>
      </c>
      <c r="AC74" s="21" t="e">
        <f t="shared" si="14"/>
        <v>#VALUE!</v>
      </c>
    </row>
    <row r="75" spans="1:29" s="23" customFormat="1" ht="24.75" customHeight="1" x14ac:dyDescent="0.25">
      <c r="A75" s="11" t="s">
        <v>171</v>
      </c>
      <c r="B75" s="12" t="s">
        <v>172</v>
      </c>
      <c r="C75" s="11" t="s">
        <v>171</v>
      </c>
      <c r="D75" s="13" t="s">
        <v>2</v>
      </c>
      <c r="E75" s="14" t="s">
        <v>2</v>
      </c>
      <c r="F75" s="15" t="s">
        <v>965</v>
      </c>
      <c r="G75" s="16" t="s">
        <v>11</v>
      </c>
      <c r="H75" s="17">
        <v>1982.4</v>
      </c>
      <c r="I75" s="17">
        <v>1652</v>
      </c>
      <c r="J75" s="17">
        <f t="shared" si="9"/>
        <v>1268.7359999999999</v>
      </c>
      <c r="K75" s="17">
        <f t="shared" si="10"/>
        <v>1486.8000000000002</v>
      </c>
      <c r="L75" s="18">
        <f t="shared" si="11"/>
        <v>-94737171.312000006</v>
      </c>
      <c r="M75" s="18">
        <f t="shared" si="11"/>
        <v>-78947642.75999999</v>
      </c>
      <c r="N75" s="17" t="s">
        <v>9</v>
      </c>
      <c r="O75" s="19">
        <v>1</v>
      </c>
      <c r="P75" s="19">
        <v>1</v>
      </c>
      <c r="Q75" s="19">
        <v>1</v>
      </c>
      <c r="R75" s="11" t="s">
        <v>12</v>
      </c>
      <c r="S75" s="11" t="s">
        <v>21</v>
      </c>
      <c r="T75" s="20" t="s">
        <v>168</v>
      </c>
      <c r="U75" s="20"/>
      <c r="V75" s="16" t="s">
        <v>5</v>
      </c>
      <c r="W75" s="16" t="s">
        <v>6</v>
      </c>
      <c r="X75" s="16"/>
      <c r="Y75" s="21">
        <v>1.73</v>
      </c>
      <c r="Z75" s="22">
        <v>1.8779999999999999E-3</v>
      </c>
      <c r="AA75" s="17" t="e">
        <f t="shared" si="12"/>
        <v>#VALUE!</v>
      </c>
      <c r="AB75" s="17" t="e">
        <f t="shared" si="13"/>
        <v>#VALUE!</v>
      </c>
      <c r="AC75" s="21" t="e">
        <f t="shared" si="14"/>
        <v>#VALUE!</v>
      </c>
    </row>
    <row r="76" spans="1:29" s="23" customFormat="1" ht="24.75" customHeight="1" x14ac:dyDescent="0.25">
      <c r="A76" s="11" t="s">
        <v>173</v>
      </c>
      <c r="B76" s="12" t="s">
        <v>174</v>
      </c>
      <c r="C76" s="11" t="s">
        <v>173</v>
      </c>
      <c r="D76" s="13" t="s">
        <v>2</v>
      </c>
      <c r="E76" s="14" t="s">
        <v>2</v>
      </c>
      <c r="F76" s="15" t="s">
        <v>965</v>
      </c>
      <c r="G76" s="16" t="s">
        <v>11</v>
      </c>
      <c r="H76" s="17">
        <v>2736.16</v>
      </c>
      <c r="I76" s="17">
        <v>2280.13</v>
      </c>
      <c r="J76" s="17">
        <f t="shared" si="9"/>
        <v>1751.1424</v>
      </c>
      <c r="K76" s="17">
        <f t="shared" si="10"/>
        <v>2052.12</v>
      </c>
      <c r="L76" s="18">
        <f t="shared" si="11"/>
        <v>-130758705.94079998</v>
      </c>
      <c r="M76" s="18">
        <f t="shared" si="11"/>
        <v>-108965428.9869</v>
      </c>
      <c r="N76" s="17" t="s">
        <v>9</v>
      </c>
      <c r="O76" s="19">
        <v>1</v>
      </c>
      <c r="P76" s="19">
        <v>1</v>
      </c>
      <c r="Q76" s="19">
        <v>1</v>
      </c>
      <c r="R76" s="11" t="s">
        <v>12</v>
      </c>
      <c r="S76" s="11" t="s">
        <v>21</v>
      </c>
      <c r="T76" s="20" t="s">
        <v>168</v>
      </c>
      <c r="U76" s="20"/>
      <c r="V76" s="16" t="s">
        <v>7</v>
      </c>
      <c r="W76" s="16" t="s">
        <v>6</v>
      </c>
      <c r="X76" s="16"/>
      <c r="Y76" s="21">
        <v>1.93</v>
      </c>
      <c r="Z76" s="22">
        <v>2.078E-3</v>
      </c>
      <c r="AA76" s="17" t="e">
        <f t="shared" si="12"/>
        <v>#VALUE!</v>
      </c>
      <c r="AB76" s="17" t="e">
        <f t="shared" si="13"/>
        <v>#VALUE!</v>
      </c>
      <c r="AC76" s="21" t="e">
        <f t="shared" si="14"/>
        <v>#VALUE!</v>
      </c>
    </row>
    <row r="77" spans="1:29" s="23" customFormat="1" ht="24.75" customHeight="1" x14ac:dyDescent="0.25">
      <c r="A77" s="11" t="s">
        <v>175</v>
      </c>
      <c r="B77" s="12" t="s">
        <v>176</v>
      </c>
      <c r="C77" s="11" t="s">
        <v>175</v>
      </c>
      <c r="D77" s="13" t="s">
        <v>2</v>
      </c>
      <c r="E77" s="14" t="s">
        <v>2</v>
      </c>
      <c r="F77" s="15" t="s">
        <v>965</v>
      </c>
      <c r="G77" s="16" t="s">
        <v>11</v>
      </c>
      <c r="H77" s="17">
        <v>422.24</v>
      </c>
      <c r="I77" s="17">
        <v>351.87</v>
      </c>
      <c r="J77" s="17">
        <f t="shared" si="9"/>
        <v>270.23360000000002</v>
      </c>
      <c r="K77" s="17">
        <f t="shared" si="10"/>
        <v>316.68</v>
      </c>
      <c r="L77" s="18">
        <f t="shared" si="11"/>
        <v>-20178482.251199998</v>
      </c>
      <c r="M77" s="18">
        <f t="shared" si="11"/>
        <v>-16815561.173099998</v>
      </c>
      <c r="N77" s="17" t="s">
        <v>4</v>
      </c>
      <c r="O77" s="19">
        <v>1</v>
      </c>
      <c r="P77" s="19">
        <v>1</v>
      </c>
      <c r="Q77" s="19">
        <v>1</v>
      </c>
      <c r="R77" s="11" t="s">
        <v>12</v>
      </c>
      <c r="S77" s="11" t="s">
        <v>21</v>
      </c>
      <c r="T77" s="20" t="s">
        <v>168</v>
      </c>
      <c r="U77" s="20"/>
      <c r="V77" s="16" t="s">
        <v>7</v>
      </c>
      <c r="W77" s="16" t="s">
        <v>6</v>
      </c>
      <c r="X77" s="16"/>
      <c r="Y77" s="21">
        <v>0.05</v>
      </c>
      <c r="Z77" s="22">
        <v>4.0000000000000003E-5</v>
      </c>
      <c r="AA77" s="17" t="e">
        <f t="shared" si="12"/>
        <v>#VALUE!</v>
      </c>
      <c r="AB77" s="17" t="e">
        <f t="shared" si="13"/>
        <v>#VALUE!</v>
      </c>
      <c r="AC77" s="21" t="e">
        <f t="shared" si="14"/>
        <v>#VALUE!</v>
      </c>
    </row>
    <row r="78" spans="1:29" s="23" customFormat="1" ht="24.75" customHeight="1" x14ac:dyDescent="0.25">
      <c r="A78" s="11" t="s">
        <v>177</v>
      </c>
      <c r="B78" s="12" t="s">
        <v>178</v>
      </c>
      <c r="C78" s="11" t="s">
        <v>177</v>
      </c>
      <c r="D78" s="13" t="s">
        <v>2</v>
      </c>
      <c r="E78" s="14" t="s">
        <v>2</v>
      </c>
      <c r="F78" s="15" t="s">
        <v>965</v>
      </c>
      <c r="G78" s="16" t="s">
        <v>11</v>
      </c>
      <c r="H78" s="17">
        <v>1452.64</v>
      </c>
      <c r="I78" s="17">
        <v>1210.53</v>
      </c>
      <c r="J78" s="17">
        <f t="shared" si="9"/>
        <v>929.68960000000004</v>
      </c>
      <c r="K78" s="17">
        <f t="shared" si="10"/>
        <v>1089.48</v>
      </c>
      <c r="L78" s="18">
        <f t="shared" si="11"/>
        <v>-69420401.803200006</v>
      </c>
      <c r="M78" s="18">
        <f t="shared" si="11"/>
        <v>-57850175.538899995</v>
      </c>
      <c r="N78" s="17" t="s">
        <v>4</v>
      </c>
      <c r="O78" s="19">
        <v>1</v>
      </c>
      <c r="P78" s="19">
        <v>1</v>
      </c>
      <c r="Q78" s="19">
        <v>1</v>
      </c>
      <c r="R78" s="11" t="s">
        <v>12</v>
      </c>
      <c r="S78" s="11" t="s">
        <v>21</v>
      </c>
      <c r="T78" s="20" t="s">
        <v>168</v>
      </c>
      <c r="U78" s="20"/>
      <c r="V78" s="16" t="s">
        <v>5</v>
      </c>
      <c r="W78" s="16" t="s">
        <v>6</v>
      </c>
      <c r="X78" s="16"/>
      <c r="Y78" s="21">
        <v>0.57999999999999996</v>
      </c>
      <c r="Z78" s="22">
        <v>5.8900000000000001E-4</v>
      </c>
      <c r="AA78" s="17" t="e">
        <f t="shared" si="12"/>
        <v>#VALUE!</v>
      </c>
      <c r="AB78" s="17" t="e">
        <f t="shared" si="13"/>
        <v>#VALUE!</v>
      </c>
      <c r="AC78" s="21" t="e">
        <f t="shared" si="14"/>
        <v>#VALUE!</v>
      </c>
    </row>
    <row r="79" spans="1:29" s="23" customFormat="1" ht="24.75" customHeight="1" x14ac:dyDescent="0.25">
      <c r="A79" s="11" t="s">
        <v>179</v>
      </c>
      <c r="B79" s="12" t="s">
        <v>180</v>
      </c>
      <c r="C79" s="11" t="s">
        <v>179</v>
      </c>
      <c r="D79" s="13" t="s">
        <v>2</v>
      </c>
      <c r="E79" s="14" t="s">
        <v>2</v>
      </c>
      <c r="F79" s="15" t="s">
        <v>965</v>
      </c>
      <c r="G79" s="16" t="s">
        <v>3</v>
      </c>
      <c r="H79" s="17">
        <v>556.64</v>
      </c>
      <c r="I79" s="17">
        <v>463.87</v>
      </c>
      <c r="J79" s="17">
        <f t="shared" si="9"/>
        <v>356.24959999999999</v>
      </c>
      <c r="K79" s="17">
        <f t="shared" si="10"/>
        <v>417.48</v>
      </c>
      <c r="L79" s="18">
        <f t="shared" si="11"/>
        <v>-26601341.323199999</v>
      </c>
      <c r="M79" s="18">
        <f t="shared" si="11"/>
        <v>-22167943.733100001</v>
      </c>
      <c r="N79" s="17" t="s">
        <v>9</v>
      </c>
      <c r="O79" s="19">
        <v>1</v>
      </c>
      <c r="P79" s="19">
        <v>1</v>
      </c>
      <c r="Q79" s="19">
        <v>1</v>
      </c>
      <c r="R79" s="11" t="s">
        <v>12</v>
      </c>
      <c r="S79" s="11" t="s">
        <v>21</v>
      </c>
      <c r="T79" s="20" t="s">
        <v>168</v>
      </c>
      <c r="U79" s="20"/>
      <c r="V79" s="16" t="s">
        <v>7</v>
      </c>
      <c r="W79" s="16" t="s">
        <v>6</v>
      </c>
      <c r="X79" s="16"/>
      <c r="Y79" s="21">
        <v>0.19</v>
      </c>
      <c r="Z79" s="22">
        <v>2.72E-4</v>
      </c>
      <c r="AA79" s="17" t="e">
        <f t="shared" si="12"/>
        <v>#VALUE!</v>
      </c>
      <c r="AB79" s="17" t="e">
        <f t="shared" si="13"/>
        <v>#VALUE!</v>
      </c>
      <c r="AC79" s="21" t="e">
        <f t="shared" si="14"/>
        <v>#VALUE!</v>
      </c>
    </row>
    <row r="80" spans="1:29" s="23" customFormat="1" ht="24.75" customHeight="1" x14ac:dyDescent="0.25">
      <c r="A80" s="11" t="s">
        <v>181</v>
      </c>
      <c r="B80" s="12" t="s">
        <v>182</v>
      </c>
      <c r="C80" s="11" t="s">
        <v>181</v>
      </c>
      <c r="D80" s="13" t="s">
        <v>2</v>
      </c>
      <c r="E80" s="14" t="s">
        <v>2</v>
      </c>
      <c r="F80" s="15" t="s">
        <v>965</v>
      </c>
      <c r="G80" s="16" t="s">
        <v>3</v>
      </c>
      <c r="H80" s="17">
        <v>649.6</v>
      </c>
      <c r="I80" s="17">
        <v>541.33000000000004</v>
      </c>
      <c r="J80" s="17">
        <f t="shared" si="9"/>
        <v>415.74400000000003</v>
      </c>
      <c r="K80" s="17">
        <f t="shared" si="10"/>
        <v>487.20000000000005</v>
      </c>
      <c r="L80" s="18">
        <f t="shared" si="11"/>
        <v>-31043818.848000001</v>
      </c>
      <c r="M80" s="18">
        <f t="shared" si="11"/>
        <v>-25869689.742899999</v>
      </c>
      <c r="N80" s="17" t="s">
        <v>4</v>
      </c>
      <c r="O80" s="19">
        <v>1</v>
      </c>
      <c r="P80" s="19">
        <v>1</v>
      </c>
      <c r="Q80" s="19">
        <v>1</v>
      </c>
      <c r="R80" s="11" t="s">
        <v>12</v>
      </c>
      <c r="S80" s="11" t="s">
        <v>21</v>
      </c>
      <c r="T80" s="20" t="s">
        <v>168</v>
      </c>
      <c r="U80" s="20"/>
      <c r="V80" s="16" t="s">
        <v>5</v>
      </c>
      <c r="W80" s="16" t="s">
        <v>6</v>
      </c>
      <c r="X80" s="16"/>
      <c r="Y80" s="21">
        <v>0.28999999999999998</v>
      </c>
      <c r="Z80" s="22">
        <v>4.0999999999999999E-4</v>
      </c>
      <c r="AA80" s="17" t="e">
        <f t="shared" si="12"/>
        <v>#VALUE!</v>
      </c>
      <c r="AB80" s="17" t="e">
        <f t="shared" si="13"/>
        <v>#VALUE!</v>
      </c>
      <c r="AC80" s="21" t="e">
        <f t="shared" si="14"/>
        <v>#VALUE!</v>
      </c>
    </row>
    <row r="81" spans="1:29" s="23" customFormat="1" ht="24.75" customHeight="1" x14ac:dyDescent="0.25">
      <c r="A81" s="11" t="s">
        <v>183</v>
      </c>
      <c r="B81" s="12" t="s">
        <v>184</v>
      </c>
      <c r="C81" s="11" t="s">
        <v>183</v>
      </c>
      <c r="D81" s="13" t="s">
        <v>2</v>
      </c>
      <c r="E81" s="14" t="s">
        <v>2</v>
      </c>
      <c r="F81" s="15" t="s">
        <v>965</v>
      </c>
      <c r="G81" s="16" t="s">
        <v>3</v>
      </c>
      <c r="H81" s="17">
        <v>833.28</v>
      </c>
      <c r="I81" s="17">
        <v>694.4</v>
      </c>
      <c r="J81" s="17">
        <f t="shared" si="9"/>
        <v>533.29919999999993</v>
      </c>
      <c r="K81" s="17">
        <f t="shared" si="10"/>
        <v>624.96</v>
      </c>
      <c r="L81" s="18">
        <f t="shared" si="11"/>
        <v>-39821726.246399999</v>
      </c>
      <c r="M81" s="18">
        <f t="shared" si="11"/>
        <v>-33184771.871999998</v>
      </c>
      <c r="N81" s="17" t="s">
        <v>4</v>
      </c>
      <c r="O81" s="19">
        <v>1</v>
      </c>
      <c r="P81" s="19">
        <v>1</v>
      </c>
      <c r="Q81" s="19">
        <v>1</v>
      </c>
      <c r="R81" s="11" t="s">
        <v>12</v>
      </c>
      <c r="S81" s="11" t="s">
        <v>21</v>
      </c>
      <c r="T81" s="20" t="s">
        <v>168</v>
      </c>
      <c r="U81" s="20"/>
      <c r="V81" s="16" t="s">
        <v>5</v>
      </c>
      <c r="W81" s="16" t="s">
        <v>6</v>
      </c>
      <c r="X81" s="16"/>
      <c r="Y81" s="21">
        <v>0.48</v>
      </c>
      <c r="Z81" s="22">
        <v>6.87E-4</v>
      </c>
      <c r="AA81" s="17" t="e">
        <f t="shared" si="12"/>
        <v>#VALUE!</v>
      </c>
      <c r="AB81" s="17" t="e">
        <f t="shared" si="13"/>
        <v>#VALUE!</v>
      </c>
      <c r="AC81" s="21" t="e">
        <f t="shared" si="14"/>
        <v>#VALUE!</v>
      </c>
    </row>
    <row r="82" spans="1:29" s="23" customFormat="1" ht="24.75" customHeight="1" x14ac:dyDescent="0.25">
      <c r="A82" s="11" t="s">
        <v>185</v>
      </c>
      <c r="B82" s="12" t="s">
        <v>186</v>
      </c>
      <c r="C82" s="11" t="s">
        <v>185</v>
      </c>
      <c r="D82" s="13" t="s">
        <v>2</v>
      </c>
      <c r="E82" s="14" t="s">
        <v>2</v>
      </c>
      <c r="F82" s="15" t="s">
        <v>965</v>
      </c>
      <c r="G82" s="16" t="s">
        <v>3</v>
      </c>
      <c r="H82" s="17">
        <v>1030.4000000000001</v>
      </c>
      <c r="I82" s="17">
        <v>858.67</v>
      </c>
      <c r="J82" s="17">
        <f t="shared" si="9"/>
        <v>659.45600000000013</v>
      </c>
      <c r="K82" s="17">
        <f t="shared" si="10"/>
        <v>772.80000000000007</v>
      </c>
      <c r="L82" s="18">
        <f t="shared" si="11"/>
        <v>-49241919.552000001</v>
      </c>
      <c r="M82" s="18">
        <f t="shared" si="11"/>
        <v>-41035092.257099994</v>
      </c>
      <c r="N82" s="17" t="s">
        <v>4</v>
      </c>
      <c r="O82" s="19">
        <v>1</v>
      </c>
      <c r="P82" s="19">
        <v>1</v>
      </c>
      <c r="Q82" s="19">
        <v>1</v>
      </c>
      <c r="R82" s="11" t="s">
        <v>12</v>
      </c>
      <c r="S82" s="11" t="s">
        <v>21</v>
      </c>
      <c r="T82" s="20" t="s">
        <v>168</v>
      </c>
      <c r="U82" s="20"/>
      <c r="V82" s="16" t="s">
        <v>5</v>
      </c>
      <c r="W82" s="16" t="s">
        <v>6</v>
      </c>
      <c r="X82" s="16"/>
      <c r="Y82" s="21">
        <v>0.66</v>
      </c>
      <c r="Z82" s="22">
        <v>9.6500000000000004E-4</v>
      </c>
      <c r="AA82" s="17" t="e">
        <f t="shared" si="12"/>
        <v>#VALUE!</v>
      </c>
      <c r="AB82" s="17" t="e">
        <f t="shared" si="13"/>
        <v>#VALUE!</v>
      </c>
      <c r="AC82" s="21" t="e">
        <f t="shared" si="14"/>
        <v>#VALUE!</v>
      </c>
    </row>
    <row r="83" spans="1:29" s="23" customFormat="1" ht="24.75" customHeight="1" x14ac:dyDescent="0.25">
      <c r="A83" s="11" t="s">
        <v>187</v>
      </c>
      <c r="B83" s="12" t="s">
        <v>188</v>
      </c>
      <c r="C83" s="11" t="s">
        <v>187</v>
      </c>
      <c r="D83" s="13" t="s">
        <v>2</v>
      </c>
      <c r="E83" s="14" t="s">
        <v>2</v>
      </c>
      <c r="F83" s="15" t="s">
        <v>965</v>
      </c>
      <c r="G83" s="16" t="s">
        <v>3</v>
      </c>
      <c r="H83" s="17">
        <v>3706.08</v>
      </c>
      <c r="I83" s="17">
        <v>3088.4</v>
      </c>
      <c r="J83" s="17">
        <f t="shared" si="9"/>
        <v>2371.8912</v>
      </c>
      <c r="K83" s="17">
        <f t="shared" si="10"/>
        <v>2779.56</v>
      </c>
      <c r="L83" s="18">
        <f t="shared" si="11"/>
        <v>-177110338.91039997</v>
      </c>
      <c r="M83" s="18">
        <f t="shared" si="11"/>
        <v>-147591949.09200001</v>
      </c>
      <c r="N83" s="17" t="s">
        <v>4</v>
      </c>
      <c r="O83" s="19">
        <v>1</v>
      </c>
      <c r="P83" s="19">
        <v>1</v>
      </c>
      <c r="Q83" s="19">
        <v>1</v>
      </c>
      <c r="R83" s="11" t="s">
        <v>12</v>
      </c>
      <c r="S83" s="11" t="s">
        <v>21</v>
      </c>
      <c r="T83" s="20" t="s">
        <v>168</v>
      </c>
      <c r="U83" s="20"/>
      <c r="V83" s="16" t="s">
        <v>7</v>
      </c>
      <c r="W83" s="16" t="s">
        <v>6</v>
      </c>
      <c r="X83" s="16"/>
      <c r="Y83" s="21">
        <v>2.69</v>
      </c>
      <c r="Z83" s="22">
        <v>4.6620000000000003E-3</v>
      </c>
      <c r="AA83" s="17" t="e">
        <f t="shared" si="12"/>
        <v>#VALUE!</v>
      </c>
      <c r="AB83" s="17" t="e">
        <f t="shared" si="13"/>
        <v>#VALUE!</v>
      </c>
      <c r="AC83" s="21" t="e">
        <f t="shared" si="14"/>
        <v>#VALUE!</v>
      </c>
    </row>
    <row r="84" spans="1:29" s="23" customFormat="1" ht="24.75" customHeight="1" x14ac:dyDescent="0.25">
      <c r="A84" s="11" t="s">
        <v>189</v>
      </c>
      <c r="B84" s="12" t="s">
        <v>190</v>
      </c>
      <c r="C84" s="11" t="s">
        <v>189</v>
      </c>
      <c r="D84" s="13" t="s">
        <v>2</v>
      </c>
      <c r="E84" s="14" t="s">
        <v>2</v>
      </c>
      <c r="F84" s="15" t="s">
        <v>965</v>
      </c>
      <c r="G84" s="16" t="s">
        <v>3</v>
      </c>
      <c r="H84" s="17">
        <v>4012.96</v>
      </c>
      <c r="I84" s="17">
        <v>3344.13</v>
      </c>
      <c r="J84" s="17">
        <f t="shared" si="9"/>
        <v>2568.2943999999998</v>
      </c>
      <c r="K84" s="17">
        <f t="shared" si="10"/>
        <v>3009.7200000000003</v>
      </c>
      <c r="L84" s="18">
        <f t="shared" si="11"/>
        <v>-191775867.1248</v>
      </c>
      <c r="M84" s="18">
        <f t="shared" si="11"/>
        <v>-159813063.30689999</v>
      </c>
      <c r="N84" s="17" t="s">
        <v>9</v>
      </c>
      <c r="O84" s="19">
        <v>1</v>
      </c>
      <c r="P84" s="19">
        <v>1</v>
      </c>
      <c r="Q84" s="19">
        <v>1</v>
      </c>
      <c r="R84" s="11" t="s">
        <v>12</v>
      </c>
      <c r="S84" s="11" t="s">
        <v>21</v>
      </c>
      <c r="T84" s="20" t="s">
        <v>168</v>
      </c>
      <c r="U84" s="20"/>
      <c r="V84" s="16" t="s">
        <v>7</v>
      </c>
      <c r="W84" s="16" t="s">
        <v>6</v>
      </c>
      <c r="X84" s="16"/>
      <c r="Y84" s="21">
        <v>3</v>
      </c>
      <c r="Z84" s="22">
        <v>5.2110000000000004E-3</v>
      </c>
      <c r="AA84" s="17" t="e">
        <f t="shared" si="12"/>
        <v>#VALUE!</v>
      </c>
      <c r="AB84" s="17" t="e">
        <f t="shared" si="13"/>
        <v>#VALUE!</v>
      </c>
      <c r="AC84" s="21" t="e">
        <f t="shared" si="14"/>
        <v>#VALUE!</v>
      </c>
    </row>
    <row r="85" spans="1:29" s="23" customFormat="1" ht="24.75" customHeight="1" x14ac:dyDescent="0.25">
      <c r="A85" s="11" t="s">
        <v>191</v>
      </c>
      <c r="B85" s="12" t="s">
        <v>192</v>
      </c>
      <c r="C85" s="11" t="s">
        <v>191</v>
      </c>
      <c r="D85" s="13" t="s">
        <v>2</v>
      </c>
      <c r="E85" s="14" t="s">
        <v>2</v>
      </c>
      <c r="F85" s="15" t="s">
        <v>965</v>
      </c>
      <c r="G85" s="16" t="s">
        <v>3</v>
      </c>
      <c r="H85" s="17">
        <v>4323.2</v>
      </c>
      <c r="I85" s="17">
        <v>3602.67</v>
      </c>
      <c r="J85" s="17">
        <f t="shared" si="9"/>
        <v>2766.848</v>
      </c>
      <c r="K85" s="17">
        <f t="shared" si="10"/>
        <v>3242.3999999999996</v>
      </c>
      <c r="L85" s="18">
        <f t="shared" si="11"/>
        <v>-206601966.81599998</v>
      </c>
      <c r="M85" s="18">
        <f t="shared" si="11"/>
        <v>-172168464.97709998</v>
      </c>
      <c r="N85" s="17" t="s">
        <v>9</v>
      </c>
      <c r="O85" s="19">
        <v>1</v>
      </c>
      <c r="P85" s="19">
        <v>1</v>
      </c>
      <c r="Q85" s="19">
        <v>1</v>
      </c>
      <c r="R85" s="11" t="s">
        <v>12</v>
      </c>
      <c r="S85" s="11" t="s">
        <v>21</v>
      </c>
      <c r="T85" s="20" t="s">
        <v>168</v>
      </c>
      <c r="U85" s="20"/>
      <c r="V85" s="16" t="s">
        <v>7</v>
      </c>
      <c r="W85" s="16" t="s">
        <v>6</v>
      </c>
      <c r="X85" s="16"/>
      <c r="Y85" s="21">
        <v>3.3</v>
      </c>
      <c r="Z85" s="22">
        <v>5.7600000000000004E-3</v>
      </c>
      <c r="AA85" s="17" t="e">
        <f t="shared" si="12"/>
        <v>#VALUE!</v>
      </c>
      <c r="AB85" s="17" t="e">
        <f t="shared" si="13"/>
        <v>#VALUE!</v>
      </c>
      <c r="AC85" s="21" t="e">
        <f t="shared" si="14"/>
        <v>#VALUE!</v>
      </c>
    </row>
    <row r="86" spans="1:29" s="23" customFormat="1" ht="24.75" customHeight="1" x14ac:dyDescent="0.25">
      <c r="A86" s="11" t="s">
        <v>193</v>
      </c>
      <c r="B86" s="12" t="s">
        <v>194</v>
      </c>
      <c r="C86" s="11" t="s">
        <v>193</v>
      </c>
      <c r="D86" s="13" t="s">
        <v>2</v>
      </c>
      <c r="E86" s="14" t="s">
        <v>2</v>
      </c>
      <c r="F86" s="15" t="s">
        <v>965</v>
      </c>
      <c r="G86" s="16" t="s">
        <v>3</v>
      </c>
      <c r="H86" s="17">
        <v>450.24</v>
      </c>
      <c r="I86" s="17">
        <v>375.2</v>
      </c>
      <c r="J86" s="17">
        <f t="shared" si="9"/>
        <v>288.15359999999998</v>
      </c>
      <c r="K86" s="17">
        <f t="shared" si="10"/>
        <v>337.68</v>
      </c>
      <c r="L86" s="18">
        <f t="shared" si="11"/>
        <v>-21516577.891199999</v>
      </c>
      <c r="M86" s="18">
        <f t="shared" si="11"/>
        <v>-17930481.575999998</v>
      </c>
      <c r="N86" s="17" t="s">
        <v>4</v>
      </c>
      <c r="O86" s="19">
        <v>1</v>
      </c>
      <c r="P86" s="19">
        <v>1</v>
      </c>
      <c r="Q86" s="19">
        <v>1</v>
      </c>
      <c r="R86" s="11" t="s">
        <v>12</v>
      </c>
      <c r="S86" s="11" t="s">
        <v>21</v>
      </c>
      <c r="T86" s="20" t="s">
        <v>168</v>
      </c>
      <c r="U86" s="20"/>
      <c r="V86" s="16" t="s">
        <v>7</v>
      </c>
      <c r="W86" s="16" t="s">
        <v>6</v>
      </c>
      <c r="X86" s="16"/>
      <c r="Y86" s="21">
        <v>0.11</v>
      </c>
      <c r="Z86" s="22">
        <v>1.34E-4</v>
      </c>
      <c r="AA86" s="17" t="e">
        <f t="shared" si="12"/>
        <v>#VALUE!</v>
      </c>
      <c r="AB86" s="17" t="e">
        <f t="shared" si="13"/>
        <v>#VALUE!</v>
      </c>
      <c r="AC86" s="21" t="e">
        <f t="shared" si="14"/>
        <v>#VALUE!</v>
      </c>
    </row>
    <row r="87" spans="1:29" s="23" customFormat="1" ht="24.75" customHeight="1" x14ac:dyDescent="0.25">
      <c r="A87" s="11" t="s">
        <v>195</v>
      </c>
      <c r="B87" s="12" t="s">
        <v>196</v>
      </c>
      <c r="C87" s="11" t="s">
        <v>195</v>
      </c>
      <c r="D87" s="13" t="s">
        <v>2</v>
      </c>
      <c r="E87" s="14" t="s">
        <v>2</v>
      </c>
      <c r="F87" s="15" t="s">
        <v>965</v>
      </c>
      <c r="G87" s="16" t="s">
        <v>3</v>
      </c>
      <c r="H87" s="17">
        <v>358.4</v>
      </c>
      <c r="I87" s="17">
        <v>298.67</v>
      </c>
      <c r="J87" s="17">
        <f t="shared" si="9"/>
        <v>229.37599999999998</v>
      </c>
      <c r="K87" s="17">
        <f t="shared" si="10"/>
        <v>268.79999999999995</v>
      </c>
      <c r="L87" s="18">
        <f t="shared" si="11"/>
        <v>-17127624.191999998</v>
      </c>
      <c r="M87" s="18">
        <f t="shared" si="11"/>
        <v>-14273179.4571</v>
      </c>
      <c r="N87" s="17" t="s">
        <v>4</v>
      </c>
      <c r="O87" s="19">
        <v>1</v>
      </c>
      <c r="P87" s="19">
        <v>1</v>
      </c>
      <c r="Q87" s="19">
        <v>1</v>
      </c>
      <c r="R87" s="11" t="s">
        <v>12</v>
      </c>
      <c r="S87" s="11" t="s">
        <v>21</v>
      </c>
      <c r="T87" s="20" t="s">
        <v>168</v>
      </c>
      <c r="U87" s="20"/>
      <c r="V87" s="16" t="s">
        <v>5</v>
      </c>
      <c r="W87" s="16" t="s">
        <v>6</v>
      </c>
      <c r="X87" s="16"/>
      <c r="Y87" s="21">
        <v>0.16</v>
      </c>
      <c r="Z87" s="22">
        <v>2.0306E-4</v>
      </c>
      <c r="AA87" s="17" t="e">
        <f t="shared" si="12"/>
        <v>#VALUE!</v>
      </c>
      <c r="AB87" s="17" t="e">
        <f t="shared" si="13"/>
        <v>#VALUE!</v>
      </c>
      <c r="AC87" s="21" t="e">
        <f t="shared" si="14"/>
        <v>#VALUE!</v>
      </c>
    </row>
    <row r="88" spans="1:29" s="23" customFormat="1" ht="24.75" customHeight="1" x14ac:dyDescent="0.25">
      <c r="A88" s="11" t="s">
        <v>197</v>
      </c>
      <c r="B88" s="12" t="s">
        <v>198</v>
      </c>
      <c r="C88" s="11" t="s">
        <v>197</v>
      </c>
      <c r="D88" s="13" t="s">
        <v>2</v>
      </c>
      <c r="E88" s="14" t="s">
        <v>2</v>
      </c>
      <c r="F88" s="15" t="s">
        <v>965</v>
      </c>
      <c r="G88" s="16" t="s">
        <v>3</v>
      </c>
      <c r="H88" s="17">
        <v>476</v>
      </c>
      <c r="I88" s="17">
        <v>396.67</v>
      </c>
      <c r="J88" s="17">
        <f t="shared" si="9"/>
        <v>304.64</v>
      </c>
      <c r="K88" s="17">
        <f t="shared" si="10"/>
        <v>357</v>
      </c>
      <c r="L88" s="18">
        <f t="shared" si="11"/>
        <v>-22747625.879999999</v>
      </c>
      <c r="M88" s="18">
        <f t="shared" si="11"/>
        <v>-18956514.197099999</v>
      </c>
      <c r="N88" s="17" t="s">
        <v>4</v>
      </c>
      <c r="O88" s="19">
        <v>1</v>
      </c>
      <c r="P88" s="19">
        <v>1</v>
      </c>
      <c r="Q88" s="19">
        <v>1</v>
      </c>
      <c r="R88" s="11" t="s">
        <v>12</v>
      </c>
      <c r="S88" s="11" t="s">
        <v>21</v>
      </c>
      <c r="T88" s="20" t="s">
        <v>168</v>
      </c>
      <c r="U88" s="20"/>
      <c r="V88" s="16" t="s">
        <v>5</v>
      </c>
      <c r="W88" s="16" t="s">
        <v>6</v>
      </c>
      <c r="X88" s="16"/>
      <c r="Y88" s="21">
        <v>0.28000000000000003</v>
      </c>
      <c r="Z88" s="22">
        <v>3.4000000000000002E-4</v>
      </c>
      <c r="AA88" s="17" t="e">
        <f t="shared" si="12"/>
        <v>#VALUE!</v>
      </c>
      <c r="AB88" s="17" t="e">
        <f t="shared" si="13"/>
        <v>#VALUE!</v>
      </c>
      <c r="AC88" s="21" t="e">
        <f t="shared" si="14"/>
        <v>#VALUE!</v>
      </c>
    </row>
    <row r="89" spans="1:29" s="23" customFormat="1" ht="24.75" customHeight="1" x14ac:dyDescent="0.25">
      <c r="A89" s="11" t="s">
        <v>199</v>
      </c>
      <c r="B89" s="12" t="s">
        <v>200</v>
      </c>
      <c r="C89" s="11" t="s">
        <v>199</v>
      </c>
      <c r="D89" s="13" t="s">
        <v>2</v>
      </c>
      <c r="E89" s="14" t="s">
        <v>2</v>
      </c>
      <c r="F89" s="15" t="s">
        <v>965</v>
      </c>
      <c r="G89" s="16" t="s">
        <v>3</v>
      </c>
      <c r="H89" s="17">
        <v>589.12</v>
      </c>
      <c r="I89" s="17">
        <v>490.93</v>
      </c>
      <c r="J89" s="17">
        <f t="shared" si="9"/>
        <v>377.03679999999997</v>
      </c>
      <c r="K89" s="17">
        <f t="shared" si="10"/>
        <v>441.84000000000003</v>
      </c>
      <c r="L89" s="18">
        <f t="shared" si="11"/>
        <v>-28153532.2656</v>
      </c>
      <c r="M89" s="18">
        <f t="shared" si="11"/>
        <v>-23461117.5909</v>
      </c>
      <c r="N89" s="17" t="s">
        <v>4</v>
      </c>
      <c r="O89" s="19">
        <v>1</v>
      </c>
      <c r="P89" s="19">
        <v>1</v>
      </c>
      <c r="Q89" s="19">
        <v>1</v>
      </c>
      <c r="R89" s="11" t="s">
        <v>12</v>
      </c>
      <c r="S89" s="11" t="s">
        <v>21</v>
      </c>
      <c r="T89" s="20" t="s">
        <v>168</v>
      </c>
      <c r="U89" s="20"/>
      <c r="V89" s="16" t="s">
        <v>5</v>
      </c>
      <c r="W89" s="16" t="s">
        <v>6</v>
      </c>
      <c r="X89" s="16"/>
      <c r="Y89" s="21">
        <v>0.39</v>
      </c>
      <c r="Z89" s="22">
        <v>4.7699999999999999E-4</v>
      </c>
      <c r="AA89" s="17" t="e">
        <f t="shared" si="12"/>
        <v>#VALUE!</v>
      </c>
      <c r="AB89" s="17" t="e">
        <f t="shared" si="13"/>
        <v>#VALUE!</v>
      </c>
      <c r="AC89" s="21" t="e">
        <f t="shared" si="14"/>
        <v>#VALUE!</v>
      </c>
    </row>
    <row r="90" spans="1:29" s="23" customFormat="1" ht="24.75" customHeight="1" x14ac:dyDescent="0.25">
      <c r="A90" s="11" t="s">
        <v>201</v>
      </c>
      <c r="B90" s="12" t="s">
        <v>202</v>
      </c>
      <c r="C90" s="11" t="s">
        <v>201</v>
      </c>
      <c r="D90" s="13" t="s">
        <v>2</v>
      </c>
      <c r="E90" s="14" t="s">
        <v>2</v>
      </c>
      <c r="F90" s="15" t="s">
        <v>965</v>
      </c>
      <c r="G90" s="16" t="s">
        <v>3</v>
      </c>
      <c r="H90" s="17">
        <v>1668.8</v>
      </c>
      <c r="I90" s="17">
        <v>1390.67</v>
      </c>
      <c r="J90" s="17">
        <f t="shared" si="9"/>
        <v>1068.0320000000002</v>
      </c>
      <c r="K90" s="17">
        <f t="shared" si="10"/>
        <v>1251.5999999999999</v>
      </c>
      <c r="L90" s="18">
        <f t="shared" si="11"/>
        <v>-79750500.143999994</v>
      </c>
      <c r="M90" s="18">
        <f t="shared" si="11"/>
        <v>-66458909.417099997</v>
      </c>
      <c r="N90" s="17" t="s">
        <v>9</v>
      </c>
      <c r="O90" s="19">
        <v>1</v>
      </c>
      <c r="P90" s="19">
        <v>1</v>
      </c>
      <c r="Q90" s="19">
        <v>1</v>
      </c>
      <c r="R90" s="11" t="s">
        <v>12</v>
      </c>
      <c r="S90" s="11" t="s">
        <v>21</v>
      </c>
      <c r="T90" s="20" t="s">
        <v>168</v>
      </c>
      <c r="U90" s="20"/>
      <c r="V90" s="16" t="s">
        <v>7</v>
      </c>
      <c r="W90" s="16" t="s">
        <v>6</v>
      </c>
      <c r="X90" s="16"/>
      <c r="Y90" s="21">
        <v>0.98</v>
      </c>
      <c r="Z90" s="22">
        <v>1.6440000000000001E-3</v>
      </c>
      <c r="AA90" s="17" t="e">
        <f t="shared" si="12"/>
        <v>#VALUE!</v>
      </c>
      <c r="AB90" s="17" t="e">
        <f t="shared" si="13"/>
        <v>#VALUE!</v>
      </c>
      <c r="AC90" s="21" t="e">
        <f t="shared" si="14"/>
        <v>#VALUE!</v>
      </c>
    </row>
    <row r="91" spans="1:29" s="23" customFormat="1" ht="24.75" customHeight="1" x14ac:dyDescent="0.25">
      <c r="A91" s="11" t="s">
        <v>203</v>
      </c>
      <c r="B91" s="12" t="s">
        <v>204</v>
      </c>
      <c r="C91" s="11" t="s">
        <v>203</v>
      </c>
      <c r="D91" s="13" t="s">
        <v>2</v>
      </c>
      <c r="E91" s="14" t="s">
        <v>2</v>
      </c>
      <c r="F91" s="15" t="s">
        <v>965</v>
      </c>
      <c r="G91" s="16" t="s">
        <v>3</v>
      </c>
      <c r="H91" s="17">
        <v>2134.7199999999998</v>
      </c>
      <c r="I91" s="17">
        <v>1778.93</v>
      </c>
      <c r="J91" s="17">
        <f t="shared" si="9"/>
        <v>1366.2207999999998</v>
      </c>
      <c r="K91" s="17">
        <f t="shared" si="10"/>
        <v>1601.04</v>
      </c>
      <c r="L91" s="18">
        <f t="shared" si="11"/>
        <v>-102016411.59359999</v>
      </c>
      <c r="M91" s="18">
        <f t="shared" si="11"/>
        <v>-85013517.030900002</v>
      </c>
      <c r="N91" s="17" t="s">
        <v>4</v>
      </c>
      <c r="O91" s="19">
        <v>1</v>
      </c>
      <c r="P91" s="19">
        <v>1</v>
      </c>
      <c r="Q91" s="19">
        <v>1</v>
      </c>
      <c r="R91" s="11" t="s">
        <v>12</v>
      </c>
      <c r="S91" s="11" t="s">
        <v>21</v>
      </c>
      <c r="T91" s="20" t="s">
        <v>168</v>
      </c>
      <c r="U91" s="20"/>
      <c r="V91" s="16" t="s">
        <v>5</v>
      </c>
      <c r="W91" s="16" t="s">
        <v>6</v>
      </c>
      <c r="X91" s="16"/>
      <c r="Y91" s="21">
        <v>1.47</v>
      </c>
      <c r="Z91" s="22">
        <v>2.4819999999999998E-3</v>
      </c>
      <c r="AA91" s="17" t="e">
        <f t="shared" si="12"/>
        <v>#VALUE!</v>
      </c>
      <c r="AB91" s="17" t="e">
        <f t="shared" si="13"/>
        <v>#VALUE!</v>
      </c>
      <c r="AC91" s="21" t="e">
        <f t="shared" si="14"/>
        <v>#VALUE!</v>
      </c>
    </row>
    <row r="92" spans="1:29" s="23" customFormat="1" ht="24.75" customHeight="1" x14ac:dyDescent="0.25">
      <c r="A92" s="11" t="s">
        <v>205</v>
      </c>
      <c r="B92" s="12" t="s">
        <v>206</v>
      </c>
      <c r="C92" s="11" t="s">
        <v>205</v>
      </c>
      <c r="D92" s="13" t="s">
        <v>2</v>
      </c>
      <c r="E92" s="14" t="s">
        <v>2</v>
      </c>
      <c r="F92" s="15" t="s">
        <v>965</v>
      </c>
      <c r="G92" s="16" t="s">
        <v>3</v>
      </c>
      <c r="H92" s="17">
        <v>3060.96</v>
      </c>
      <c r="I92" s="17">
        <v>2550.8000000000002</v>
      </c>
      <c r="J92" s="17">
        <f t="shared" si="9"/>
        <v>1959.0144</v>
      </c>
      <c r="K92" s="17">
        <f t="shared" si="10"/>
        <v>2295.7200000000003</v>
      </c>
      <c r="L92" s="18">
        <f t="shared" si="11"/>
        <v>-146280615.36480001</v>
      </c>
      <c r="M92" s="18">
        <f t="shared" si="11"/>
        <v>-121900512.80400001</v>
      </c>
      <c r="N92" s="17" t="s">
        <v>4</v>
      </c>
      <c r="O92" s="19">
        <v>1</v>
      </c>
      <c r="P92" s="19">
        <v>1</v>
      </c>
      <c r="Q92" s="19">
        <v>1</v>
      </c>
      <c r="R92" s="11" t="s">
        <v>12</v>
      </c>
      <c r="S92" s="11" t="s">
        <v>21</v>
      </c>
      <c r="T92" s="20" t="s">
        <v>168</v>
      </c>
      <c r="U92" s="20"/>
      <c r="V92" s="16" t="s">
        <v>5</v>
      </c>
      <c r="W92" s="16" t="s">
        <v>6</v>
      </c>
      <c r="X92" s="16"/>
      <c r="Y92" s="21">
        <v>2.4500000000000002</v>
      </c>
      <c r="Z92" s="22">
        <v>4.1590000000000004E-3</v>
      </c>
      <c r="AA92" s="17" t="e">
        <f t="shared" si="12"/>
        <v>#VALUE!</v>
      </c>
      <c r="AB92" s="17" t="e">
        <f t="shared" si="13"/>
        <v>#VALUE!</v>
      </c>
      <c r="AC92" s="21" t="e">
        <f t="shared" si="14"/>
        <v>#VALUE!</v>
      </c>
    </row>
    <row r="93" spans="1:29" s="23" customFormat="1" ht="24.75" customHeight="1" x14ac:dyDescent="0.25">
      <c r="A93" s="11" t="s">
        <v>207</v>
      </c>
      <c r="B93" s="12" t="s">
        <v>208</v>
      </c>
      <c r="C93" s="11" t="s">
        <v>207</v>
      </c>
      <c r="D93" s="13" t="s">
        <v>2</v>
      </c>
      <c r="E93" s="14" t="s">
        <v>2</v>
      </c>
      <c r="F93" s="15" t="s">
        <v>965</v>
      </c>
      <c r="G93" s="16" t="s">
        <v>3</v>
      </c>
      <c r="H93" s="17">
        <v>5409.6</v>
      </c>
      <c r="I93" s="17">
        <v>4508</v>
      </c>
      <c r="J93" s="17">
        <f t="shared" si="9"/>
        <v>3462.1440000000002</v>
      </c>
      <c r="K93" s="17">
        <f t="shared" si="10"/>
        <v>4057.2000000000003</v>
      </c>
      <c r="L93" s="18">
        <f t="shared" si="11"/>
        <v>-258520077.648</v>
      </c>
      <c r="M93" s="18">
        <f t="shared" si="11"/>
        <v>-215433398.03999999</v>
      </c>
      <c r="N93" s="17" t="s">
        <v>9</v>
      </c>
      <c r="O93" s="19">
        <v>1</v>
      </c>
      <c r="P93" s="19">
        <v>1</v>
      </c>
      <c r="Q93" s="19">
        <v>1</v>
      </c>
      <c r="R93" s="11" t="s">
        <v>12</v>
      </c>
      <c r="S93" s="11" t="s">
        <v>21</v>
      </c>
      <c r="T93" s="20" t="s">
        <v>168</v>
      </c>
      <c r="U93" s="20"/>
      <c r="V93" s="16" t="s">
        <v>5</v>
      </c>
      <c r="W93" s="16" t="s">
        <v>6</v>
      </c>
      <c r="X93" s="16"/>
      <c r="Y93" s="21">
        <v>3.43</v>
      </c>
      <c r="Z93" s="22">
        <v>5.8370000000000002E-3</v>
      </c>
      <c r="AA93" s="17" t="e">
        <f t="shared" si="12"/>
        <v>#VALUE!</v>
      </c>
      <c r="AB93" s="17" t="e">
        <f t="shared" si="13"/>
        <v>#VALUE!</v>
      </c>
      <c r="AC93" s="21" t="e">
        <f t="shared" si="14"/>
        <v>#VALUE!</v>
      </c>
    </row>
    <row r="94" spans="1:29" s="23" customFormat="1" ht="24.75" customHeight="1" x14ac:dyDescent="0.25">
      <c r="A94" s="11" t="s">
        <v>209</v>
      </c>
      <c r="B94" s="12" t="s">
        <v>210</v>
      </c>
      <c r="C94" s="11" t="s">
        <v>209</v>
      </c>
      <c r="D94" s="13" t="s">
        <v>2</v>
      </c>
      <c r="E94" s="14" t="s">
        <v>2</v>
      </c>
      <c r="F94" s="15" t="s">
        <v>965</v>
      </c>
      <c r="G94" s="16" t="s">
        <v>3</v>
      </c>
      <c r="H94" s="17">
        <v>888.16</v>
      </c>
      <c r="I94" s="17">
        <v>740.13</v>
      </c>
      <c r="J94" s="17">
        <f t="shared" si="9"/>
        <v>568.42239999999993</v>
      </c>
      <c r="K94" s="17">
        <f t="shared" si="10"/>
        <v>666.12</v>
      </c>
      <c r="L94" s="18">
        <f t="shared" si="11"/>
        <v>-42444393.700799994</v>
      </c>
      <c r="M94" s="18">
        <f t="shared" si="11"/>
        <v>-35370168.786899999</v>
      </c>
      <c r="N94" s="17" t="s">
        <v>4</v>
      </c>
      <c r="O94" s="19">
        <v>1</v>
      </c>
      <c r="P94" s="19">
        <v>1</v>
      </c>
      <c r="Q94" s="19">
        <v>1</v>
      </c>
      <c r="R94" s="11" t="s">
        <v>12</v>
      </c>
      <c r="S94" s="11" t="s">
        <v>21</v>
      </c>
      <c r="T94" s="20" t="s">
        <v>168</v>
      </c>
      <c r="U94" s="20"/>
      <c r="V94" s="16" t="s">
        <v>5</v>
      </c>
      <c r="W94" s="16" t="s">
        <v>6</v>
      </c>
      <c r="X94" s="16"/>
      <c r="Y94" s="21">
        <v>0.46</v>
      </c>
      <c r="Z94" s="22">
        <v>8.25E-4</v>
      </c>
      <c r="AA94" s="17" t="e">
        <f t="shared" si="12"/>
        <v>#VALUE!</v>
      </c>
      <c r="AB94" s="17" t="e">
        <f t="shared" si="13"/>
        <v>#VALUE!</v>
      </c>
      <c r="AC94" s="21" t="e">
        <f t="shared" si="14"/>
        <v>#VALUE!</v>
      </c>
    </row>
    <row r="95" spans="1:29" s="23" customFormat="1" ht="24.75" customHeight="1" x14ac:dyDescent="0.25">
      <c r="A95" s="11" t="s">
        <v>211</v>
      </c>
      <c r="B95" s="12" t="s">
        <v>212</v>
      </c>
      <c r="C95" s="11" t="s">
        <v>211</v>
      </c>
      <c r="D95" s="13" t="s">
        <v>2</v>
      </c>
      <c r="E95" s="14" t="s">
        <v>2</v>
      </c>
      <c r="F95" s="15" t="s">
        <v>965</v>
      </c>
      <c r="G95" s="16" t="s">
        <v>3</v>
      </c>
      <c r="H95" s="17">
        <v>1267.8399999999999</v>
      </c>
      <c r="I95" s="17">
        <v>1056.53</v>
      </c>
      <c r="J95" s="17">
        <f t="shared" si="9"/>
        <v>811.41759999999999</v>
      </c>
      <c r="K95" s="17">
        <f t="shared" si="10"/>
        <v>950.87999999999988</v>
      </c>
      <c r="L95" s="18">
        <f t="shared" si="11"/>
        <v>-60588970.579199992</v>
      </c>
      <c r="M95" s="18">
        <f t="shared" si="11"/>
        <v>-50490649.5189</v>
      </c>
      <c r="N95" s="17" t="s">
        <v>4</v>
      </c>
      <c r="O95" s="19">
        <v>1</v>
      </c>
      <c r="P95" s="19">
        <v>1</v>
      </c>
      <c r="Q95" s="19">
        <v>1</v>
      </c>
      <c r="R95" s="11" t="s">
        <v>12</v>
      </c>
      <c r="S95" s="11" t="s">
        <v>21</v>
      </c>
      <c r="T95" s="20" t="s">
        <v>168</v>
      </c>
      <c r="U95" s="20"/>
      <c r="V95" s="16" t="s">
        <v>5</v>
      </c>
      <c r="W95" s="16" t="s">
        <v>6</v>
      </c>
      <c r="X95" s="16"/>
      <c r="Y95" s="21">
        <v>0.73</v>
      </c>
      <c r="Z95" s="22">
        <v>1.382E-3</v>
      </c>
      <c r="AA95" s="17" t="e">
        <f t="shared" si="12"/>
        <v>#VALUE!</v>
      </c>
      <c r="AB95" s="17" t="e">
        <f t="shared" si="13"/>
        <v>#VALUE!</v>
      </c>
      <c r="AC95" s="21" t="e">
        <f t="shared" si="14"/>
        <v>#VALUE!</v>
      </c>
    </row>
    <row r="96" spans="1:29" s="23" customFormat="1" ht="24.75" customHeight="1" x14ac:dyDescent="0.25">
      <c r="A96" s="11" t="s">
        <v>213</v>
      </c>
      <c r="B96" s="12" t="s">
        <v>214</v>
      </c>
      <c r="C96" s="11" t="s">
        <v>213</v>
      </c>
      <c r="D96" s="13" t="s">
        <v>2</v>
      </c>
      <c r="E96" s="14" t="s">
        <v>2</v>
      </c>
      <c r="F96" s="15" t="s">
        <v>965</v>
      </c>
      <c r="G96" s="16" t="s">
        <v>3</v>
      </c>
      <c r="H96" s="17">
        <v>1616.16</v>
      </c>
      <c r="I96" s="17">
        <v>1346.8</v>
      </c>
      <c r="J96" s="17">
        <f t="shared" si="9"/>
        <v>1034.3424</v>
      </c>
      <c r="K96" s="17">
        <f t="shared" si="10"/>
        <v>1212.1200000000001</v>
      </c>
      <c r="L96" s="18">
        <f t="shared" si="11"/>
        <v>-77234880.340800002</v>
      </c>
      <c r="M96" s="18">
        <f t="shared" si="11"/>
        <v>-64362400.283999994</v>
      </c>
      <c r="N96" s="17" t="s">
        <v>4</v>
      </c>
      <c r="O96" s="19">
        <v>1</v>
      </c>
      <c r="P96" s="19">
        <v>1</v>
      </c>
      <c r="Q96" s="19">
        <v>1</v>
      </c>
      <c r="R96" s="11" t="s">
        <v>12</v>
      </c>
      <c r="S96" s="11" t="s">
        <v>21</v>
      </c>
      <c r="T96" s="20" t="s">
        <v>168</v>
      </c>
      <c r="U96" s="20"/>
      <c r="V96" s="16" t="s">
        <v>5</v>
      </c>
      <c r="W96" s="16" t="s">
        <v>6</v>
      </c>
      <c r="X96" s="16"/>
      <c r="Y96" s="21">
        <v>1.02</v>
      </c>
      <c r="Z96" s="22">
        <v>1.939E-3</v>
      </c>
      <c r="AA96" s="17" t="e">
        <f t="shared" si="12"/>
        <v>#VALUE!</v>
      </c>
      <c r="AB96" s="17" t="e">
        <f t="shared" si="13"/>
        <v>#VALUE!</v>
      </c>
      <c r="AC96" s="21" t="e">
        <f t="shared" si="14"/>
        <v>#VALUE!</v>
      </c>
    </row>
    <row r="97" spans="1:29" s="23" customFormat="1" ht="24.75" customHeight="1" x14ac:dyDescent="0.25">
      <c r="A97" s="11" t="s">
        <v>215</v>
      </c>
      <c r="B97" s="12" t="s">
        <v>216</v>
      </c>
      <c r="C97" s="11" t="s">
        <v>215</v>
      </c>
      <c r="D97" s="13" t="s">
        <v>2</v>
      </c>
      <c r="E97" s="14" t="s">
        <v>2</v>
      </c>
      <c r="F97" s="15" t="s">
        <v>965</v>
      </c>
      <c r="G97" s="16" t="s">
        <v>11</v>
      </c>
      <c r="H97" s="17">
        <v>5449.92</v>
      </c>
      <c r="I97" s="17">
        <v>4541.6000000000004</v>
      </c>
      <c r="J97" s="17">
        <f t="shared" si="9"/>
        <v>3487.9488000000001</v>
      </c>
      <c r="K97" s="17">
        <f t="shared" si="10"/>
        <v>4087.44</v>
      </c>
      <c r="L97" s="18">
        <f t="shared" si="11"/>
        <v>-260446935.3696</v>
      </c>
      <c r="M97" s="18">
        <f t="shared" si="11"/>
        <v>-217039112.808</v>
      </c>
      <c r="N97" s="17" t="s">
        <v>4</v>
      </c>
      <c r="O97" s="19">
        <v>1</v>
      </c>
      <c r="P97" s="19">
        <v>1</v>
      </c>
      <c r="Q97" s="19">
        <v>1</v>
      </c>
      <c r="R97" s="11" t="s">
        <v>12</v>
      </c>
      <c r="S97" s="11" t="s">
        <v>21</v>
      </c>
      <c r="T97" s="20" t="s">
        <v>217</v>
      </c>
      <c r="U97" s="20"/>
      <c r="V97" s="16" t="s">
        <v>7</v>
      </c>
      <c r="W97" s="16" t="s">
        <v>6</v>
      </c>
      <c r="X97" s="16"/>
      <c r="Y97" s="21">
        <v>2.56</v>
      </c>
      <c r="Z97" s="22">
        <v>2.8509999999999998E-3</v>
      </c>
      <c r="AA97" s="17" t="e">
        <f t="shared" si="12"/>
        <v>#VALUE!</v>
      </c>
      <c r="AB97" s="17" t="e">
        <f t="shared" si="13"/>
        <v>#VALUE!</v>
      </c>
      <c r="AC97" s="21" t="e">
        <f t="shared" si="14"/>
        <v>#VALUE!</v>
      </c>
    </row>
    <row r="98" spans="1:29" s="23" customFormat="1" ht="24.75" customHeight="1" x14ac:dyDescent="0.25">
      <c r="A98" s="11" t="s">
        <v>218</v>
      </c>
      <c r="B98" s="12" t="s">
        <v>219</v>
      </c>
      <c r="C98" s="11" t="s">
        <v>218</v>
      </c>
      <c r="D98" s="13" t="s">
        <v>2</v>
      </c>
      <c r="E98" s="14" t="s">
        <v>2</v>
      </c>
      <c r="F98" s="15" t="s">
        <v>965</v>
      </c>
      <c r="G98" s="16" t="s">
        <v>11</v>
      </c>
      <c r="H98" s="17">
        <v>7226.24</v>
      </c>
      <c r="I98" s="17">
        <v>6021.87</v>
      </c>
      <c r="J98" s="17">
        <f t="shared" si="9"/>
        <v>4624.7936</v>
      </c>
      <c r="K98" s="17">
        <f t="shared" si="10"/>
        <v>5419.68</v>
      </c>
      <c r="L98" s="18">
        <f t="shared" si="11"/>
        <v>-345335722.77119994</v>
      </c>
      <c r="M98" s="18">
        <f t="shared" si="11"/>
        <v>-287779928.27309996</v>
      </c>
      <c r="N98" s="17" t="s">
        <v>9</v>
      </c>
      <c r="O98" s="19">
        <v>1</v>
      </c>
      <c r="P98" s="19">
        <v>1</v>
      </c>
      <c r="Q98" s="19">
        <v>1</v>
      </c>
      <c r="R98" s="11" t="s">
        <v>12</v>
      </c>
      <c r="S98" s="11" t="s">
        <v>21</v>
      </c>
      <c r="T98" s="20" t="s">
        <v>217</v>
      </c>
      <c r="U98" s="20"/>
      <c r="V98" s="16" t="s">
        <v>7</v>
      </c>
      <c r="W98" s="16" t="s">
        <v>6</v>
      </c>
      <c r="X98" s="16"/>
      <c r="Y98" s="21">
        <v>4</v>
      </c>
      <c r="Z98" s="22">
        <v>4.7710000000000001E-3</v>
      </c>
      <c r="AA98" s="17" t="e">
        <f t="shared" si="12"/>
        <v>#VALUE!</v>
      </c>
      <c r="AB98" s="17" t="e">
        <f t="shared" si="13"/>
        <v>#VALUE!</v>
      </c>
      <c r="AC98" s="21" t="e">
        <f t="shared" si="14"/>
        <v>#VALUE!</v>
      </c>
    </row>
    <row r="99" spans="1:29" s="23" customFormat="1" ht="24.75" customHeight="1" x14ac:dyDescent="0.25">
      <c r="A99" s="11" t="s">
        <v>220</v>
      </c>
      <c r="B99" s="12" t="s">
        <v>221</v>
      </c>
      <c r="C99" s="11" t="s">
        <v>220</v>
      </c>
      <c r="D99" s="13" t="s">
        <v>2</v>
      </c>
      <c r="E99" s="14" t="s">
        <v>2</v>
      </c>
      <c r="F99" s="15" t="s">
        <v>965</v>
      </c>
      <c r="G99" s="16" t="s">
        <v>11</v>
      </c>
      <c r="H99" s="17">
        <v>9004.7999999999993</v>
      </c>
      <c r="I99" s="17">
        <v>7504</v>
      </c>
      <c r="J99" s="17">
        <f t="shared" si="9"/>
        <v>5763.0719999999992</v>
      </c>
      <c r="K99" s="17">
        <f t="shared" si="10"/>
        <v>6753.5999999999995</v>
      </c>
      <c r="L99" s="18">
        <f t="shared" si="11"/>
        <v>-430331557.82399994</v>
      </c>
      <c r="M99" s="18">
        <f t="shared" si="11"/>
        <v>-358609631.51999998</v>
      </c>
      <c r="N99" s="17" t="s">
        <v>4</v>
      </c>
      <c r="O99" s="19">
        <v>1</v>
      </c>
      <c r="P99" s="19">
        <v>1</v>
      </c>
      <c r="Q99" s="19">
        <v>1</v>
      </c>
      <c r="R99" s="11" t="s">
        <v>12</v>
      </c>
      <c r="S99" s="11" t="s">
        <v>21</v>
      </c>
      <c r="T99" s="20" t="s">
        <v>217</v>
      </c>
      <c r="U99" s="20"/>
      <c r="V99" s="16" t="s">
        <v>7</v>
      </c>
      <c r="W99" s="16" t="s">
        <v>6</v>
      </c>
      <c r="X99" s="16"/>
      <c r="Y99" s="21">
        <v>5.45</v>
      </c>
      <c r="Z99" s="22">
        <v>6.6909999999999999E-3</v>
      </c>
      <c r="AA99" s="17" t="e">
        <f t="shared" ref="AA99:AA130" si="15">IF(OR(F99="",L99=""),"",F99*L99)</f>
        <v>#VALUE!</v>
      </c>
      <c r="AB99" s="17" t="e">
        <f t="shared" ref="AB99:AB130" si="16">IF(OR(F99="",Y99=""),"",Y99*F99)</f>
        <v>#VALUE!</v>
      </c>
      <c r="AC99" s="21" t="e">
        <f t="shared" ref="AC99:AC130" si="17">IF(OR(F99="",Z99=""),"",F99*Z99)</f>
        <v>#VALUE!</v>
      </c>
    </row>
    <row r="100" spans="1:29" s="23" customFormat="1" ht="24.75" customHeight="1" x14ac:dyDescent="0.25">
      <c r="A100" s="11" t="s">
        <v>222</v>
      </c>
      <c r="B100" s="12" t="s">
        <v>223</v>
      </c>
      <c r="C100" s="11" t="s">
        <v>222</v>
      </c>
      <c r="D100" s="13" t="s">
        <v>2</v>
      </c>
      <c r="E100" s="14" t="s">
        <v>2</v>
      </c>
      <c r="F100" s="15" t="s">
        <v>965</v>
      </c>
      <c r="G100" s="16" t="s">
        <v>11</v>
      </c>
      <c r="H100" s="17">
        <v>8342.8799999999992</v>
      </c>
      <c r="I100" s="17">
        <v>6952.4</v>
      </c>
      <c r="J100" s="17">
        <f t="shared" si="9"/>
        <v>5339.4431999999997</v>
      </c>
      <c r="K100" s="17">
        <f t="shared" si="10"/>
        <v>6257.16</v>
      </c>
      <c r="L100" s="18">
        <f t="shared" si="11"/>
        <v>-398698976.89439994</v>
      </c>
      <c r="M100" s="18">
        <f t="shared" si="11"/>
        <v>-332249147.41199994</v>
      </c>
      <c r="N100" s="17" t="s">
        <v>9</v>
      </c>
      <c r="O100" s="19">
        <v>1</v>
      </c>
      <c r="P100" s="19">
        <v>1</v>
      </c>
      <c r="Q100" s="19">
        <v>1</v>
      </c>
      <c r="R100" s="11" t="s">
        <v>12</v>
      </c>
      <c r="S100" s="11" t="s">
        <v>21</v>
      </c>
      <c r="T100" s="20" t="s">
        <v>217</v>
      </c>
      <c r="U100" s="20"/>
      <c r="V100" s="16" t="s">
        <v>7</v>
      </c>
      <c r="W100" s="16" t="s">
        <v>6</v>
      </c>
      <c r="X100" s="16"/>
      <c r="Y100" s="21">
        <v>4.93</v>
      </c>
      <c r="Z100" s="22">
        <v>5.7019999999999996E-3</v>
      </c>
      <c r="AA100" s="17" t="e">
        <f t="shared" si="15"/>
        <v>#VALUE!</v>
      </c>
      <c r="AB100" s="17" t="e">
        <f t="shared" si="16"/>
        <v>#VALUE!</v>
      </c>
      <c r="AC100" s="21" t="e">
        <f t="shared" si="17"/>
        <v>#VALUE!</v>
      </c>
    </row>
    <row r="101" spans="1:29" s="23" customFormat="1" ht="24.75" customHeight="1" x14ac:dyDescent="0.25">
      <c r="A101" s="11" t="s">
        <v>224</v>
      </c>
      <c r="B101" s="12" t="s">
        <v>225</v>
      </c>
      <c r="C101" s="11" t="s">
        <v>224</v>
      </c>
      <c r="D101" s="13" t="s">
        <v>2</v>
      </c>
      <c r="E101" s="14" t="s">
        <v>2</v>
      </c>
      <c r="F101" s="15" t="s">
        <v>965</v>
      </c>
      <c r="G101" s="16" t="s">
        <v>11</v>
      </c>
      <c r="H101" s="17">
        <v>11818.24</v>
      </c>
      <c r="I101" s="17">
        <v>9848.5300000000007</v>
      </c>
      <c r="J101" s="17">
        <f t="shared" si="9"/>
        <v>7563.6736000000001</v>
      </c>
      <c r="K101" s="17">
        <f t="shared" si="10"/>
        <v>8863.68</v>
      </c>
      <c r="L101" s="18">
        <f t="shared" si="11"/>
        <v>-564783407.73119998</v>
      </c>
      <c r="M101" s="18">
        <f t="shared" si="11"/>
        <v>-470652680.47890002</v>
      </c>
      <c r="N101" s="17" t="s">
        <v>4</v>
      </c>
      <c r="O101" s="19">
        <v>1</v>
      </c>
      <c r="P101" s="19">
        <v>1</v>
      </c>
      <c r="Q101" s="19">
        <v>1</v>
      </c>
      <c r="R101" s="11" t="s">
        <v>12</v>
      </c>
      <c r="S101" s="11" t="s">
        <v>21</v>
      </c>
      <c r="T101" s="20" t="s">
        <v>217</v>
      </c>
      <c r="U101" s="20"/>
      <c r="V101" s="16" t="s">
        <v>7</v>
      </c>
      <c r="W101" s="16" t="s">
        <v>6</v>
      </c>
      <c r="X101" s="16"/>
      <c r="Y101" s="21">
        <v>7.7</v>
      </c>
      <c r="Z101" s="22">
        <v>9.5420000000000001E-3</v>
      </c>
      <c r="AA101" s="17" t="e">
        <f t="shared" si="15"/>
        <v>#VALUE!</v>
      </c>
      <c r="AB101" s="17" t="e">
        <f t="shared" si="16"/>
        <v>#VALUE!</v>
      </c>
      <c r="AC101" s="21" t="e">
        <f t="shared" si="17"/>
        <v>#VALUE!</v>
      </c>
    </row>
    <row r="102" spans="1:29" s="23" customFormat="1" ht="24.75" customHeight="1" x14ac:dyDescent="0.25">
      <c r="A102" s="11" t="s">
        <v>226</v>
      </c>
      <c r="B102" s="12" t="s">
        <v>227</v>
      </c>
      <c r="C102" s="11" t="s">
        <v>226</v>
      </c>
      <c r="D102" s="13" t="s">
        <v>2</v>
      </c>
      <c r="E102" s="14" t="s">
        <v>2</v>
      </c>
      <c r="F102" s="15" t="s">
        <v>965</v>
      </c>
      <c r="G102" s="16" t="s">
        <v>11</v>
      </c>
      <c r="H102" s="17">
        <v>15162.56</v>
      </c>
      <c r="I102" s="17">
        <v>12635.47</v>
      </c>
      <c r="J102" s="17">
        <f t="shared" si="9"/>
        <v>9704.0383999999995</v>
      </c>
      <c r="K102" s="17">
        <f t="shared" si="10"/>
        <v>11371.92</v>
      </c>
      <c r="L102" s="18">
        <f t="shared" si="11"/>
        <v>-724605550.9727999</v>
      </c>
      <c r="M102" s="18">
        <f t="shared" si="11"/>
        <v>-603838118.44109988</v>
      </c>
      <c r="N102" s="17" t="s">
        <v>4</v>
      </c>
      <c r="O102" s="19">
        <v>1</v>
      </c>
      <c r="P102" s="19">
        <v>1</v>
      </c>
      <c r="Q102" s="19">
        <v>1</v>
      </c>
      <c r="R102" s="11" t="s">
        <v>12</v>
      </c>
      <c r="S102" s="11" t="s">
        <v>21</v>
      </c>
      <c r="T102" s="20" t="s">
        <v>217</v>
      </c>
      <c r="U102" s="20"/>
      <c r="V102" s="16" t="s">
        <v>7</v>
      </c>
      <c r="W102" s="16" t="s">
        <v>6</v>
      </c>
      <c r="X102" s="16"/>
      <c r="Y102" s="21">
        <v>10.48</v>
      </c>
      <c r="Z102" s="22">
        <v>1.3382E-2</v>
      </c>
      <c r="AA102" s="17" t="e">
        <f t="shared" si="15"/>
        <v>#VALUE!</v>
      </c>
      <c r="AB102" s="17" t="e">
        <f t="shared" si="16"/>
        <v>#VALUE!</v>
      </c>
      <c r="AC102" s="21" t="e">
        <f t="shared" si="17"/>
        <v>#VALUE!</v>
      </c>
    </row>
    <row r="103" spans="1:29" s="23" customFormat="1" ht="24.75" customHeight="1" x14ac:dyDescent="0.25">
      <c r="A103" s="11" t="s">
        <v>228</v>
      </c>
      <c r="B103" s="12" t="s">
        <v>229</v>
      </c>
      <c r="C103" s="11" t="s">
        <v>228</v>
      </c>
      <c r="D103" s="13" t="s">
        <v>2</v>
      </c>
      <c r="E103" s="14" t="s">
        <v>2</v>
      </c>
      <c r="F103" s="15" t="s">
        <v>965</v>
      </c>
      <c r="G103" s="16" t="s">
        <v>3</v>
      </c>
      <c r="H103" s="17">
        <v>8760.64</v>
      </c>
      <c r="I103" s="17">
        <v>7300.53</v>
      </c>
      <c r="J103" s="17">
        <f t="shared" si="9"/>
        <v>5606.8095999999996</v>
      </c>
      <c r="K103" s="17">
        <f t="shared" si="10"/>
        <v>6570.48</v>
      </c>
      <c r="L103" s="18">
        <f t="shared" si="11"/>
        <v>-418663363.84319997</v>
      </c>
      <c r="M103" s="18">
        <f t="shared" si="11"/>
        <v>-348885977.23889995</v>
      </c>
      <c r="N103" s="17" t="s">
        <v>9</v>
      </c>
      <c r="O103" s="19">
        <v>1</v>
      </c>
      <c r="P103" s="19">
        <v>1</v>
      </c>
      <c r="Q103" s="19">
        <v>1</v>
      </c>
      <c r="R103" s="11" t="s">
        <v>12</v>
      </c>
      <c r="S103" s="11" t="s">
        <v>21</v>
      </c>
      <c r="T103" s="20" t="s">
        <v>217</v>
      </c>
      <c r="U103" s="20"/>
      <c r="V103" s="16" t="s">
        <v>7</v>
      </c>
      <c r="W103" s="16" t="s">
        <v>6</v>
      </c>
      <c r="X103" s="16"/>
      <c r="Y103" s="21">
        <v>4.03</v>
      </c>
      <c r="Z103" s="22">
        <v>5.5199999999999997E-4</v>
      </c>
      <c r="AA103" s="17" t="e">
        <f t="shared" si="15"/>
        <v>#VALUE!</v>
      </c>
      <c r="AB103" s="17" t="e">
        <f t="shared" si="16"/>
        <v>#VALUE!</v>
      </c>
      <c r="AC103" s="21" t="e">
        <f t="shared" si="17"/>
        <v>#VALUE!</v>
      </c>
    </row>
    <row r="104" spans="1:29" s="23" customFormat="1" ht="24.75" customHeight="1" x14ac:dyDescent="0.25">
      <c r="A104" s="11" t="s">
        <v>230</v>
      </c>
      <c r="B104" s="12" t="s">
        <v>231</v>
      </c>
      <c r="C104" s="11" t="s">
        <v>230</v>
      </c>
      <c r="D104" s="13" t="s">
        <v>2</v>
      </c>
      <c r="E104" s="14" t="s">
        <v>2</v>
      </c>
      <c r="F104" s="15" t="s">
        <v>965</v>
      </c>
      <c r="G104" s="16" t="s">
        <v>3</v>
      </c>
      <c r="H104" s="17">
        <v>12074.72</v>
      </c>
      <c r="I104" s="17">
        <v>10062.27</v>
      </c>
      <c r="J104" s="17">
        <f t="shared" si="9"/>
        <v>7727.8207999999995</v>
      </c>
      <c r="K104" s="17">
        <f t="shared" si="10"/>
        <v>9056.0399999999991</v>
      </c>
      <c r="L104" s="18">
        <f t="shared" si="11"/>
        <v>-577040363.79359996</v>
      </c>
      <c r="M104" s="18">
        <f t="shared" si="11"/>
        <v>-480867129.12510002</v>
      </c>
      <c r="N104" s="17" t="s">
        <v>4</v>
      </c>
      <c r="O104" s="19">
        <v>1</v>
      </c>
      <c r="P104" s="19">
        <v>1</v>
      </c>
      <c r="Q104" s="19">
        <v>1</v>
      </c>
      <c r="R104" s="11" t="s">
        <v>12</v>
      </c>
      <c r="S104" s="11" t="s">
        <v>21</v>
      </c>
      <c r="T104" s="20" t="s">
        <v>217</v>
      </c>
      <c r="U104" s="20"/>
      <c r="V104" s="16" t="s">
        <v>7</v>
      </c>
      <c r="W104" s="16" t="s">
        <v>6</v>
      </c>
      <c r="X104" s="16"/>
      <c r="Y104" s="21">
        <v>6.55</v>
      </c>
      <c r="Z104" s="22">
        <v>8.8999999999999995E-4</v>
      </c>
      <c r="AA104" s="17" t="e">
        <f t="shared" si="15"/>
        <v>#VALUE!</v>
      </c>
      <c r="AB104" s="17" t="e">
        <f t="shared" si="16"/>
        <v>#VALUE!</v>
      </c>
      <c r="AC104" s="21" t="e">
        <f t="shared" si="17"/>
        <v>#VALUE!</v>
      </c>
    </row>
    <row r="105" spans="1:29" s="23" customFormat="1" ht="24.75" customHeight="1" x14ac:dyDescent="0.25">
      <c r="A105" s="11" t="s">
        <v>232</v>
      </c>
      <c r="B105" s="12" t="s">
        <v>233</v>
      </c>
      <c r="C105" s="11" t="s">
        <v>232</v>
      </c>
      <c r="D105" s="13" t="s">
        <v>2</v>
      </c>
      <c r="E105" s="14" t="s">
        <v>2</v>
      </c>
      <c r="F105" s="15" t="s">
        <v>965</v>
      </c>
      <c r="G105" s="16" t="s">
        <v>3</v>
      </c>
      <c r="H105" s="17">
        <v>15386.56</v>
      </c>
      <c r="I105" s="17">
        <v>12822.13</v>
      </c>
      <c r="J105" s="17">
        <f t="shared" si="9"/>
        <v>9847.3983999999982</v>
      </c>
      <c r="K105" s="17">
        <f t="shared" si="10"/>
        <v>11539.92</v>
      </c>
      <c r="L105" s="18">
        <f t="shared" si="11"/>
        <v>-735310316.0927999</v>
      </c>
      <c r="M105" s="18">
        <f t="shared" si="11"/>
        <v>-612758437.44689989</v>
      </c>
      <c r="N105" s="17" t="s">
        <v>9</v>
      </c>
      <c r="O105" s="19">
        <v>1</v>
      </c>
      <c r="P105" s="19">
        <v>1</v>
      </c>
      <c r="Q105" s="19">
        <v>1</v>
      </c>
      <c r="R105" s="11" t="s">
        <v>12</v>
      </c>
      <c r="S105" s="11" t="s">
        <v>21</v>
      </c>
      <c r="T105" s="20" t="s">
        <v>217</v>
      </c>
      <c r="U105" s="20"/>
      <c r="V105" s="16" t="s">
        <v>7</v>
      </c>
      <c r="W105" s="16" t="s">
        <v>6</v>
      </c>
      <c r="X105" s="16"/>
      <c r="Y105" s="21">
        <v>9.06</v>
      </c>
      <c r="Z105" s="22">
        <v>1.227E-3</v>
      </c>
      <c r="AA105" s="17" t="e">
        <f t="shared" si="15"/>
        <v>#VALUE!</v>
      </c>
      <c r="AB105" s="17" t="e">
        <f t="shared" si="16"/>
        <v>#VALUE!</v>
      </c>
      <c r="AC105" s="21" t="e">
        <f t="shared" si="17"/>
        <v>#VALUE!</v>
      </c>
    </row>
    <row r="106" spans="1:29" s="23" customFormat="1" ht="24.75" customHeight="1" x14ac:dyDescent="0.25">
      <c r="A106" s="11" t="s">
        <v>234</v>
      </c>
      <c r="B106" s="12" t="s">
        <v>235</v>
      </c>
      <c r="C106" s="11" t="s">
        <v>234</v>
      </c>
      <c r="D106" s="13" t="s">
        <v>2</v>
      </c>
      <c r="E106" s="14" t="s">
        <v>2</v>
      </c>
      <c r="F106" s="15" t="s">
        <v>965</v>
      </c>
      <c r="G106" s="16" t="s">
        <v>3</v>
      </c>
      <c r="H106" s="17">
        <v>9423.68</v>
      </c>
      <c r="I106" s="17">
        <v>7853.07</v>
      </c>
      <c r="J106" s="17">
        <f t="shared" si="9"/>
        <v>6031.1552000000011</v>
      </c>
      <c r="K106" s="17">
        <f t="shared" si="10"/>
        <v>7067.76</v>
      </c>
      <c r="L106" s="18">
        <f t="shared" si="11"/>
        <v>-450349468.5984</v>
      </c>
      <c r="M106" s="18">
        <f t="shared" si="11"/>
        <v>-375291383.12909997</v>
      </c>
      <c r="N106" s="17" t="s">
        <v>4</v>
      </c>
      <c r="O106" s="19">
        <v>1</v>
      </c>
      <c r="P106" s="19">
        <v>1</v>
      </c>
      <c r="Q106" s="19">
        <v>1</v>
      </c>
      <c r="R106" s="11" t="s">
        <v>12</v>
      </c>
      <c r="S106" s="11" t="s">
        <v>21</v>
      </c>
      <c r="T106" s="20" t="s">
        <v>217</v>
      </c>
      <c r="U106" s="20"/>
      <c r="V106" s="16" t="s">
        <v>7</v>
      </c>
      <c r="W106" s="16" t="s">
        <v>6</v>
      </c>
      <c r="X106" s="16"/>
      <c r="Y106" s="21">
        <v>4.5</v>
      </c>
      <c r="Z106" s="22">
        <v>6.1700000000000004E-4</v>
      </c>
      <c r="AA106" s="17" t="e">
        <f t="shared" si="15"/>
        <v>#VALUE!</v>
      </c>
      <c r="AB106" s="17" t="e">
        <f t="shared" si="16"/>
        <v>#VALUE!</v>
      </c>
      <c r="AC106" s="21" t="e">
        <f t="shared" si="17"/>
        <v>#VALUE!</v>
      </c>
    </row>
    <row r="107" spans="1:29" s="23" customFormat="1" ht="24.75" customHeight="1" x14ac:dyDescent="0.25">
      <c r="A107" s="11" t="s">
        <v>236</v>
      </c>
      <c r="B107" s="12" t="s">
        <v>237</v>
      </c>
      <c r="C107" s="11" t="s">
        <v>236</v>
      </c>
      <c r="D107" s="13" t="s">
        <v>2</v>
      </c>
      <c r="E107" s="14" t="s">
        <v>2</v>
      </c>
      <c r="F107" s="15" t="s">
        <v>965</v>
      </c>
      <c r="G107" s="16" t="s">
        <v>3</v>
      </c>
      <c r="H107" s="17">
        <v>13112.96</v>
      </c>
      <c r="I107" s="17">
        <v>10927.47</v>
      </c>
      <c r="J107" s="17">
        <f t="shared" si="9"/>
        <v>8392.2943999999989</v>
      </c>
      <c r="K107" s="17">
        <f t="shared" si="10"/>
        <v>9834.7199999999993</v>
      </c>
      <c r="L107" s="18">
        <f t="shared" si="11"/>
        <v>-626656950.12479997</v>
      </c>
      <c r="M107" s="18">
        <f t="shared" si="11"/>
        <v>-522214284.40109992</v>
      </c>
      <c r="N107" s="17" t="s">
        <v>4</v>
      </c>
      <c r="O107" s="19">
        <v>1</v>
      </c>
      <c r="P107" s="19">
        <v>1</v>
      </c>
      <c r="Q107" s="19">
        <v>1</v>
      </c>
      <c r="R107" s="11" t="s">
        <v>12</v>
      </c>
      <c r="S107" s="11" t="s">
        <v>21</v>
      </c>
      <c r="T107" s="20" t="s">
        <v>217</v>
      </c>
      <c r="U107" s="20"/>
      <c r="V107" s="16" t="s">
        <v>7</v>
      </c>
      <c r="W107" s="16" t="s">
        <v>6</v>
      </c>
      <c r="X107" s="16"/>
      <c r="Y107" s="21">
        <v>7.31</v>
      </c>
      <c r="Z107" s="22">
        <v>9.9500000000000001E-4</v>
      </c>
      <c r="AA107" s="17" t="e">
        <f t="shared" si="15"/>
        <v>#VALUE!</v>
      </c>
      <c r="AB107" s="17" t="e">
        <f t="shared" si="16"/>
        <v>#VALUE!</v>
      </c>
      <c r="AC107" s="21" t="e">
        <f t="shared" si="17"/>
        <v>#VALUE!</v>
      </c>
    </row>
    <row r="108" spans="1:29" s="23" customFormat="1" ht="24.75" customHeight="1" x14ac:dyDescent="0.25">
      <c r="A108" s="11" t="s">
        <v>238</v>
      </c>
      <c r="B108" s="12" t="s">
        <v>239</v>
      </c>
      <c r="C108" s="11" t="s">
        <v>238</v>
      </c>
      <c r="D108" s="13" t="s">
        <v>2</v>
      </c>
      <c r="E108" s="14" t="s">
        <v>2</v>
      </c>
      <c r="F108" s="15" t="s">
        <v>965</v>
      </c>
      <c r="G108" s="16" t="s">
        <v>3</v>
      </c>
      <c r="H108" s="17">
        <v>16814.560000000001</v>
      </c>
      <c r="I108" s="17">
        <v>14012.13</v>
      </c>
      <c r="J108" s="17">
        <f t="shared" si="9"/>
        <v>10761.3184</v>
      </c>
      <c r="K108" s="17">
        <f t="shared" si="10"/>
        <v>12610.920000000002</v>
      </c>
      <c r="L108" s="18">
        <f t="shared" si="11"/>
        <v>-803553193.73280001</v>
      </c>
      <c r="M108" s="18">
        <f t="shared" si="11"/>
        <v>-669627502.14689994</v>
      </c>
      <c r="N108" s="17" t="s">
        <v>4</v>
      </c>
      <c r="O108" s="19">
        <v>1</v>
      </c>
      <c r="P108" s="19">
        <v>1</v>
      </c>
      <c r="Q108" s="19">
        <v>1</v>
      </c>
      <c r="R108" s="11" t="s">
        <v>12</v>
      </c>
      <c r="S108" s="11" t="s">
        <v>21</v>
      </c>
      <c r="T108" s="20" t="s">
        <v>217</v>
      </c>
      <c r="U108" s="20"/>
      <c r="V108" s="16" t="s">
        <v>7</v>
      </c>
      <c r="W108" s="16" t="s">
        <v>6</v>
      </c>
      <c r="X108" s="16"/>
      <c r="Y108" s="21">
        <v>10.119999999999999</v>
      </c>
      <c r="Z108" s="22">
        <v>1.3730000000000001E-3</v>
      </c>
      <c r="AA108" s="17" t="e">
        <f t="shared" si="15"/>
        <v>#VALUE!</v>
      </c>
      <c r="AB108" s="17" t="e">
        <f t="shared" si="16"/>
        <v>#VALUE!</v>
      </c>
      <c r="AC108" s="21" t="e">
        <f t="shared" si="17"/>
        <v>#VALUE!</v>
      </c>
    </row>
    <row r="109" spans="1:29" s="23" customFormat="1" ht="24.75" customHeight="1" x14ac:dyDescent="0.25">
      <c r="A109" s="11" t="s">
        <v>240</v>
      </c>
      <c r="B109" s="12" t="s">
        <v>241</v>
      </c>
      <c r="C109" s="11" t="s">
        <v>240</v>
      </c>
      <c r="D109" s="13" t="s">
        <v>2</v>
      </c>
      <c r="E109" s="14" t="s">
        <v>2</v>
      </c>
      <c r="F109" s="15" t="s">
        <v>965</v>
      </c>
      <c r="G109" s="16" t="s">
        <v>3</v>
      </c>
      <c r="H109" s="17">
        <v>10046.4</v>
      </c>
      <c r="I109" s="17">
        <v>8372</v>
      </c>
      <c r="J109" s="17">
        <f t="shared" si="9"/>
        <v>6429.6959999999999</v>
      </c>
      <c r="K109" s="17">
        <f t="shared" si="10"/>
        <v>7534.7999999999993</v>
      </c>
      <c r="L109" s="18">
        <f t="shared" si="11"/>
        <v>-480108715.63199997</v>
      </c>
      <c r="M109" s="18">
        <f t="shared" si="11"/>
        <v>-400090596.35999995</v>
      </c>
      <c r="N109" s="17" t="s">
        <v>4</v>
      </c>
      <c r="O109" s="19">
        <v>1</v>
      </c>
      <c r="P109" s="19">
        <v>1</v>
      </c>
      <c r="Q109" s="19">
        <v>1</v>
      </c>
      <c r="R109" s="11" t="s">
        <v>12</v>
      </c>
      <c r="S109" s="11" t="s">
        <v>21</v>
      </c>
      <c r="T109" s="20" t="s">
        <v>217</v>
      </c>
      <c r="U109" s="20"/>
      <c r="V109" s="16" t="s">
        <v>7</v>
      </c>
      <c r="W109" s="16" t="s">
        <v>6</v>
      </c>
      <c r="X109" s="16"/>
      <c r="Y109" s="21">
        <v>4.97</v>
      </c>
      <c r="Z109" s="22">
        <v>6.8300000000000001E-4</v>
      </c>
      <c r="AA109" s="17" t="e">
        <f t="shared" si="15"/>
        <v>#VALUE!</v>
      </c>
      <c r="AB109" s="17" t="e">
        <f t="shared" si="16"/>
        <v>#VALUE!</v>
      </c>
      <c r="AC109" s="21" t="e">
        <f t="shared" si="17"/>
        <v>#VALUE!</v>
      </c>
    </row>
    <row r="110" spans="1:29" s="23" customFormat="1" ht="24.75" customHeight="1" x14ac:dyDescent="0.25">
      <c r="A110" s="11" t="s">
        <v>242</v>
      </c>
      <c r="B110" s="12" t="s">
        <v>243</v>
      </c>
      <c r="C110" s="11" t="s">
        <v>242</v>
      </c>
      <c r="D110" s="13" t="s">
        <v>2</v>
      </c>
      <c r="E110" s="14" t="s">
        <v>2</v>
      </c>
      <c r="F110" s="15" t="s">
        <v>965</v>
      </c>
      <c r="G110" s="16" t="s">
        <v>3</v>
      </c>
      <c r="H110" s="17">
        <v>14140</v>
      </c>
      <c r="I110" s="17">
        <v>11783.33</v>
      </c>
      <c r="J110" s="17">
        <f t="shared" si="9"/>
        <v>9049.6</v>
      </c>
      <c r="K110" s="17">
        <f t="shared" si="10"/>
        <v>10605</v>
      </c>
      <c r="L110" s="18">
        <f t="shared" si="11"/>
        <v>-675738298.19999993</v>
      </c>
      <c r="M110" s="18">
        <f t="shared" si="11"/>
        <v>-563115089.20289993</v>
      </c>
      <c r="N110" s="17" t="s">
        <v>4</v>
      </c>
      <c r="O110" s="19">
        <v>1</v>
      </c>
      <c r="P110" s="19">
        <v>1</v>
      </c>
      <c r="Q110" s="19">
        <v>1</v>
      </c>
      <c r="R110" s="11" t="s">
        <v>12</v>
      </c>
      <c r="S110" s="11" t="s">
        <v>21</v>
      </c>
      <c r="T110" s="20" t="s">
        <v>217</v>
      </c>
      <c r="U110" s="20"/>
      <c r="V110" s="16" t="s">
        <v>7</v>
      </c>
      <c r="W110" s="16" t="s">
        <v>6</v>
      </c>
      <c r="X110" s="16"/>
      <c r="Y110" s="21">
        <v>8.08</v>
      </c>
      <c r="Z110" s="22">
        <v>1.1000000000000001E-3</v>
      </c>
      <c r="AA110" s="17" t="e">
        <f t="shared" si="15"/>
        <v>#VALUE!</v>
      </c>
      <c r="AB110" s="17" t="e">
        <f t="shared" si="16"/>
        <v>#VALUE!</v>
      </c>
      <c r="AC110" s="21" t="e">
        <f t="shared" si="17"/>
        <v>#VALUE!</v>
      </c>
    </row>
    <row r="111" spans="1:29" s="23" customFormat="1" ht="24.75" customHeight="1" x14ac:dyDescent="0.25">
      <c r="A111" s="11" t="s">
        <v>244</v>
      </c>
      <c r="B111" s="12" t="s">
        <v>245</v>
      </c>
      <c r="C111" s="11" t="s">
        <v>244</v>
      </c>
      <c r="D111" s="13" t="s">
        <v>2</v>
      </c>
      <c r="E111" s="14" t="s">
        <v>2</v>
      </c>
      <c r="F111" s="15" t="s">
        <v>965</v>
      </c>
      <c r="G111" s="16" t="s">
        <v>3</v>
      </c>
      <c r="H111" s="17">
        <v>18239.2</v>
      </c>
      <c r="I111" s="17">
        <v>15199.33</v>
      </c>
      <c r="J111" s="17">
        <f t="shared" si="9"/>
        <v>11673.088</v>
      </c>
      <c r="K111" s="17">
        <f t="shared" si="10"/>
        <v>13679.400000000001</v>
      </c>
      <c r="L111" s="18">
        <f t="shared" si="11"/>
        <v>-871635499.89600003</v>
      </c>
      <c r="M111" s="18">
        <f t="shared" si="11"/>
        <v>-726362757.28289998</v>
      </c>
      <c r="N111" s="17" t="s">
        <v>4</v>
      </c>
      <c r="O111" s="19">
        <v>1</v>
      </c>
      <c r="P111" s="19">
        <v>1</v>
      </c>
      <c r="Q111" s="19">
        <v>1</v>
      </c>
      <c r="R111" s="11" t="s">
        <v>12</v>
      </c>
      <c r="S111" s="11" t="s">
        <v>21</v>
      </c>
      <c r="T111" s="20" t="s">
        <v>217</v>
      </c>
      <c r="U111" s="20"/>
      <c r="V111" s="16" t="s">
        <v>7</v>
      </c>
      <c r="W111" s="16" t="s">
        <v>6</v>
      </c>
      <c r="X111" s="16"/>
      <c r="Y111" s="21">
        <v>11.18</v>
      </c>
      <c r="Z111" s="22">
        <v>1.518E-3</v>
      </c>
      <c r="AA111" s="17" t="e">
        <f t="shared" si="15"/>
        <v>#VALUE!</v>
      </c>
      <c r="AB111" s="17" t="e">
        <f t="shared" si="16"/>
        <v>#VALUE!</v>
      </c>
      <c r="AC111" s="21" t="e">
        <f t="shared" si="17"/>
        <v>#VALUE!</v>
      </c>
    </row>
    <row r="112" spans="1:29" s="23" customFormat="1" ht="24.75" customHeight="1" x14ac:dyDescent="0.25">
      <c r="A112" s="11" t="s">
        <v>246</v>
      </c>
      <c r="B112" s="12" t="s">
        <v>247</v>
      </c>
      <c r="C112" s="11" t="s">
        <v>246</v>
      </c>
      <c r="D112" s="13" t="s">
        <v>2</v>
      </c>
      <c r="E112" s="14" t="s">
        <v>2</v>
      </c>
      <c r="F112" s="15" t="s">
        <v>965</v>
      </c>
      <c r="G112" s="16" t="s">
        <v>3</v>
      </c>
      <c r="H112" s="17">
        <v>2054.08</v>
      </c>
      <c r="I112" s="17">
        <v>1711.73</v>
      </c>
      <c r="J112" s="17">
        <f t="shared" si="9"/>
        <v>1314.6111999999998</v>
      </c>
      <c r="K112" s="17">
        <f t="shared" si="10"/>
        <v>1540.56</v>
      </c>
      <c r="L112" s="18">
        <f t="shared" si="11"/>
        <v>-98162696.150399998</v>
      </c>
      <c r="M112" s="18">
        <f t="shared" si="11"/>
        <v>-81802087.494900003</v>
      </c>
      <c r="N112" s="17" t="s">
        <v>9</v>
      </c>
      <c r="O112" s="19">
        <v>1</v>
      </c>
      <c r="P112" s="19">
        <v>1</v>
      </c>
      <c r="Q112" s="19">
        <v>1</v>
      </c>
      <c r="R112" s="11" t="s">
        <v>12</v>
      </c>
      <c r="S112" s="11" t="s">
        <v>21</v>
      </c>
      <c r="T112" s="20" t="s">
        <v>217</v>
      </c>
      <c r="U112" s="20"/>
      <c r="V112" s="16" t="s">
        <v>7</v>
      </c>
      <c r="W112" s="16" t="s">
        <v>6</v>
      </c>
      <c r="X112" s="16"/>
      <c r="Y112" s="21">
        <v>0.69</v>
      </c>
      <c r="Z112" s="22">
        <v>9.7999999999999997E-5</v>
      </c>
      <c r="AA112" s="17" t="e">
        <f t="shared" si="15"/>
        <v>#VALUE!</v>
      </c>
      <c r="AB112" s="17" t="e">
        <f t="shared" si="16"/>
        <v>#VALUE!</v>
      </c>
      <c r="AC112" s="21" t="e">
        <f t="shared" si="17"/>
        <v>#VALUE!</v>
      </c>
    </row>
    <row r="113" spans="1:29" s="23" customFormat="1" ht="24.75" customHeight="1" x14ac:dyDescent="0.25">
      <c r="A113" s="11" t="s">
        <v>248</v>
      </c>
      <c r="B113" s="12" t="s">
        <v>249</v>
      </c>
      <c r="C113" s="11" t="s">
        <v>248</v>
      </c>
      <c r="D113" s="13" t="s">
        <v>2</v>
      </c>
      <c r="E113" s="14" t="s">
        <v>2</v>
      </c>
      <c r="F113" s="15" t="s">
        <v>965</v>
      </c>
      <c r="G113" s="16" t="s">
        <v>3</v>
      </c>
      <c r="H113" s="17">
        <v>2691.36</v>
      </c>
      <c r="I113" s="17">
        <v>2242.8000000000002</v>
      </c>
      <c r="J113" s="17">
        <f t="shared" si="9"/>
        <v>1722.4704000000002</v>
      </c>
      <c r="K113" s="17">
        <f t="shared" si="10"/>
        <v>2018.52</v>
      </c>
      <c r="L113" s="18">
        <f t="shared" si="11"/>
        <v>-128617752.91679999</v>
      </c>
      <c r="M113" s="18">
        <f t="shared" si="11"/>
        <v>-107181460.764</v>
      </c>
      <c r="N113" s="17" t="s">
        <v>9</v>
      </c>
      <c r="O113" s="19">
        <v>1</v>
      </c>
      <c r="P113" s="19">
        <v>1</v>
      </c>
      <c r="Q113" s="19">
        <v>1</v>
      </c>
      <c r="R113" s="11" t="s">
        <v>12</v>
      </c>
      <c r="S113" s="11" t="s">
        <v>21</v>
      </c>
      <c r="T113" s="20" t="s">
        <v>217</v>
      </c>
      <c r="U113" s="20"/>
      <c r="V113" s="16" t="s">
        <v>7</v>
      </c>
      <c r="W113" s="16" t="s">
        <v>6</v>
      </c>
      <c r="X113" s="16"/>
      <c r="Y113" s="21">
        <v>1.1299999999999999</v>
      </c>
      <c r="Z113" s="22">
        <v>1.65E-4</v>
      </c>
      <c r="AA113" s="17" t="e">
        <f t="shared" si="15"/>
        <v>#VALUE!</v>
      </c>
      <c r="AB113" s="17" t="e">
        <f t="shared" si="16"/>
        <v>#VALUE!</v>
      </c>
      <c r="AC113" s="21" t="e">
        <f t="shared" si="17"/>
        <v>#VALUE!</v>
      </c>
    </row>
    <row r="114" spans="1:29" s="23" customFormat="1" ht="24.75" customHeight="1" x14ac:dyDescent="0.25">
      <c r="A114" s="11" t="s">
        <v>250</v>
      </c>
      <c r="B114" s="12" t="s">
        <v>251</v>
      </c>
      <c r="C114" s="11" t="s">
        <v>250</v>
      </c>
      <c r="D114" s="13" t="s">
        <v>2</v>
      </c>
      <c r="E114" s="14" t="s">
        <v>2</v>
      </c>
      <c r="F114" s="15" t="s">
        <v>965</v>
      </c>
      <c r="G114" s="16" t="s">
        <v>3</v>
      </c>
      <c r="H114" s="17">
        <v>3289.44</v>
      </c>
      <c r="I114" s="17">
        <v>2741.2</v>
      </c>
      <c r="J114" s="17">
        <f t="shared" si="9"/>
        <v>2105.2416000000003</v>
      </c>
      <c r="K114" s="17">
        <f t="shared" si="10"/>
        <v>2467.08</v>
      </c>
      <c r="L114" s="18">
        <f t="shared" si="11"/>
        <v>-157199475.7872</v>
      </c>
      <c r="M114" s="18">
        <f t="shared" si="11"/>
        <v>-130999563.15599999</v>
      </c>
      <c r="N114" s="17" t="s">
        <v>9</v>
      </c>
      <c r="O114" s="19">
        <v>1</v>
      </c>
      <c r="P114" s="19">
        <v>1</v>
      </c>
      <c r="Q114" s="19">
        <v>1</v>
      </c>
      <c r="R114" s="11" t="s">
        <v>12</v>
      </c>
      <c r="S114" s="11" t="s">
        <v>21</v>
      </c>
      <c r="T114" s="20" t="s">
        <v>217</v>
      </c>
      <c r="U114" s="20"/>
      <c r="V114" s="16" t="s">
        <v>7</v>
      </c>
      <c r="W114" s="16" t="s">
        <v>6</v>
      </c>
      <c r="X114" s="16"/>
      <c r="Y114" s="21">
        <v>1.57</v>
      </c>
      <c r="Z114" s="22">
        <v>2.31E-4</v>
      </c>
      <c r="AA114" s="17" t="e">
        <f t="shared" si="15"/>
        <v>#VALUE!</v>
      </c>
      <c r="AB114" s="17" t="e">
        <f t="shared" si="16"/>
        <v>#VALUE!</v>
      </c>
      <c r="AC114" s="21" t="e">
        <f t="shared" si="17"/>
        <v>#VALUE!</v>
      </c>
    </row>
    <row r="115" spans="1:29" s="23" customFormat="1" ht="24.75" customHeight="1" x14ac:dyDescent="0.25">
      <c r="A115" s="11" t="s">
        <v>252</v>
      </c>
      <c r="B115" s="12" t="s">
        <v>253</v>
      </c>
      <c r="C115" s="11" t="s">
        <v>252</v>
      </c>
      <c r="D115" s="13" t="s">
        <v>2</v>
      </c>
      <c r="E115" s="14" t="s">
        <v>2</v>
      </c>
      <c r="F115" s="15" t="s">
        <v>965</v>
      </c>
      <c r="G115" s="16" t="s">
        <v>3</v>
      </c>
      <c r="H115" s="17">
        <v>2578.2399999999998</v>
      </c>
      <c r="I115" s="17">
        <v>2148.5300000000002</v>
      </c>
      <c r="J115" s="17">
        <f t="shared" si="9"/>
        <v>1650.0735999999999</v>
      </c>
      <c r="K115" s="17">
        <f t="shared" si="10"/>
        <v>1933.6799999999998</v>
      </c>
      <c r="L115" s="18">
        <f t="shared" si="11"/>
        <v>-123211846.53119998</v>
      </c>
      <c r="M115" s="18">
        <f t="shared" si="11"/>
        <v>-102676379.4789</v>
      </c>
      <c r="N115" s="17" t="s">
        <v>9</v>
      </c>
      <c r="O115" s="19">
        <v>1</v>
      </c>
      <c r="P115" s="19">
        <v>1</v>
      </c>
      <c r="Q115" s="19">
        <v>1</v>
      </c>
      <c r="R115" s="11" t="s">
        <v>12</v>
      </c>
      <c r="S115" s="11" t="s">
        <v>21</v>
      </c>
      <c r="T115" s="20" t="s">
        <v>217</v>
      </c>
      <c r="U115" s="20"/>
      <c r="V115" s="16" t="s">
        <v>7</v>
      </c>
      <c r="W115" s="16" t="s">
        <v>6</v>
      </c>
      <c r="X115" s="16"/>
      <c r="Y115" s="21">
        <v>1.1200000000000001</v>
      </c>
      <c r="Z115" s="22">
        <v>1.56E-4</v>
      </c>
      <c r="AA115" s="17" t="e">
        <f t="shared" si="15"/>
        <v>#VALUE!</v>
      </c>
      <c r="AB115" s="17" t="e">
        <f t="shared" si="16"/>
        <v>#VALUE!</v>
      </c>
      <c r="AC115" s="21" t="e">
        <f t="shared" si="17"/>
        <v>#VALUE!</v>
      </c>
    </row>
    <row r="116" spans="1:29" s="23" customFormat="1" ht="24.75" customHeight="1" x14ac:dyDescent="0.25">
      <c r="A116" s="11" t="s">
        <v>254</v>
      </c>
      <c r="B116" s="12" t="s">
        <v>255</v>
      </c>
      <c r="C116" s="11" t="s">
        <v>254</v>
      </c>
      <c r="D116" s="13" t="s">
        <v>2</v>
      </c>
      <c r="E116" s="14" t="s">
        <v>2</v>
      </c>
      <c r="F116" s="15" t="s">
        <v>965</v>
      </c>
      <c r="G116" s="16" t="s">
        <v>3</v>
      </c>
      <c r="H116" s="17">
        <v>3587.36</v>
      </c>
      <c r="I116" s="17">
        <v>2989.47</v>
      </c>
      <c r="J116" s="17">
        <f t="shared" si="9"/>
        <v>2295.9103999999998</v>
      </c>
      <c r="K116" s="17">
        <f t="shared" si="10"/>
        <v>2690.52</v>
      </c>
      <c r="L116" s="18">
        <f t="shared" si="11"/>
        <v>-171436813.39680001</v>
      </c>
      <c r="M116" s="18">
        <f t="shared" si="11"/>
        <v>-142864170.46109998</v>
      </c>
      <c r="N116" s="17" t="s">
        <v>4</v>
      </c>
      <c r="O116" s="19">
        <v>1</v>
      </c>
      <c r="P116" s="19">
        <v>1</v>
      </c>
      <c r="Q116" s="19">
        <v>1</v>
      </c>
      <c r="R116" s="11" t="s">
        <v>12</v>
      </c>
      <c r="S116" s="11" t="s">
        <v>21</v>
      </c>
      <c r="T116" s="20" t="s">
        <v>217</v>
      </c>
      <c r="U116" s="20"/>
      <c r="V116" s="16" t="s">
        <v>7</v>
      </c>
      <c r="W116" s="16" t="s">
        <v>6</v>
      </c>
      <c r="X116" s="16"/>
      <c r="Y116" s="21">
        <v>1.86</v>
      </c>
      <c r="Z116" s="22">
        <v>2.63E-4</v>
      </c>
      <c r="AA116" s="17" t="e">
        <f t="shared" si="15"/>
        <v>#VALUE!</v>
      </c>
      <c r="AB116" s="17" t="e">
        <f t="shared" si="16"/>
        <v>#VALUE!</v>
      </c>
      <c r="AC116" s="21" t="e">
        <f t="shared" si="17"/>
        <v>#VALUE!</v>
      </c>
    </row>
    <row r="117" spans="1:29" s="23" customFormat="1" ht="24.75" customHeight="1" x14ac:dyDescent="0.25">
      <c r="A117" s="11" t="s">
        <v>256</v>
      </c>
      <c r="B117" s="12" t="s">
        <v>257</v>
      </c>
      <c r="C117" s="11" t="s">
        <v>256</v>
      </c>
      <c r="D117" s="13" t="s">
        <v>2</v>
      </c>
      <c r="E117" s="14" t="s">
        <v>2</v>
      </c>
      <c r="F117" s="15" t="s">
        <v>965</v>
      </c>
      <c r="G117" s="16" t="s">
        <v>3</v>
      </c>
      <c r="H117" s="17">
        <v>4595.3599999999997</v>
      </c>
      <c r="I117" s="17">
        <v>3829.47</v>
      </c>
      <c r="J117" s="17">
        <f t="shared" si="9"/>
        <v>2941.0303999999996</v>
      </c>
      <c r="K117" s="17">
        <f t="shared" si="10"/>
        <v>3446.5199999999995</v>
      </c>
      <c r="L117" s="18">
        <f t="shared" si="11"/>
        <v>-219608256.43679997</v>
      </c>
      <c r="M117" s="18">
        <f t="shared" si="11"/>
        <v>-183007039.66109997</v>
      </c>
      <c r="N117" s="17" t="s">
        <v>9</v>
      </c>
      <c r="O117" s="19">
        <v>1</v>
      </c>
      <c r="P117" s="19">
        <v>1</v>
      </c>
      <c r="Q117" s="19">
        <v>1</v>
      </c>
      <c r="R117" s="11" t="s">
        <v>12</v>
      </c>
      <c r="S117" s="11" t="s">
        <v>21</v>
      </c>
      <c r="T117" s="20" t="s">
        <v>217</v>
      </c>
      <c r="U117" s="20"/>
      <c r="V117" s="16" t="s">
        <v>7</v>
      </c>
      <c r="W117" s="16" t="s">
        <v>6</v>
      </c>
      <c r="X117" s="16"/>
      <c r="Y117" s="21">
        <v>2.59</v>
      </c>
      <c r="Z117" s="22">
        <v>3.6999999999999999E-4</v>
      </c>
      <c r="AA117" s="17" t="e">
        <f t="shared" si="15"/>
        <v>#VALUE!</v>
      </c>
      <c r="AB117" s="17" t="e">
        <f t="shared" si="16"/>
        <v>#VALUE!</v>
      </c>
      <c r="AC117" s="21" t="e">
        <f t="shared" si="17"/>
        <v>#VALUE!</v>
      </c>
    </row>
    <row r="118" spans="1:29" s="23" customFormat="1" ht="24.75" customHeight="1" x14ac:dyDescent="0.25">
      <c r="A118" s="11" t="s">
        <v>258</v>
      </c>
      <c r="B118" s="12" t="s">
        <v>259</v>
      </c>
      <c r="C118" s="11" t="s">
        <v>258</v>
      </c>
      <c r="D118" s="13" t="s">
        <v>2</v>
      </c>
      <c r="E118" s="14" t="s">
        <v>2</v>
      </c>
      <c r="F118" s="15" t="s">
        <v>965</v>
      </c>
      <c r="G118" s="16" t="s">
        <v>3</v>
      </c>
      <c r="H118" s="17">
        <v>3140.48</v>
      </c>
      <c r="I118" s="17">
        <v>2617.0700000000002</v>
      </c>
      <c r="J118" s="17">
        <f t="shared" si="9"/>
        <v>2009.9072000000001</v>
      </c>
      <c r="K118" s="17">
        <f t="shared" si="10"/>
        <v>2355.36</v>
      </c>
      <c r="L118" s="18">
        <f t="shared" si="11"/>
        <v>-150080806.9824</v>
      </c>
      <c r="M118" s="18">
        <f t="shared" si="11"/>
        <v>-125067498.4491</v>
      </c>
      <c r="N118" s="17" t="s">
        <v>9</v>
      </c>
      <c r="O118" s="19">
        <v>1</v>
      </c>
      <c r="P118" s="19">
        <v>1</v>
      </c>
      <c r="Q118" s="19">
        <v>1</v>
      </c>
      <c r="R118" s="11" t="s">
        <v>12</v>
      </c>
      <c r="S118" s="11" t="s">
        <v>21</v>
      </c>
      <c r="T118" s="20" t="s">
        <v>217</v>
      </c>
      <c r="U118" s="20"/>
      <c r="V118" s="16" t="s">
        <v>7</v>
      </c>
      <c r="W118" s="16" t="s">
        <v>6</v>
      </c>
      <c r="X118" s="16"/>
      <c r="Y118" s="21">
        <v>1.56</v>
      </c>
      <c r="Z118" s="22">
        <v>2.1499999999999999E-4</v>
      </c>
      <c r="AA118" s="17" t="e">
        <f t="shared" si="15"/>
        <v>#VALUE!</v>
      </c>
      <c r="AB118" s="17" t="e">
        <f t="shared" si="16"/>
        <v>#VALUE!</v>
      </c>
      <c r="AC118" s="21" t="e">
        <f t="shared" si="17"/>
        <v>#VALUE!</v>
      </c>
    </row>
    <row r="119" spans="1:29" s="23" customFormat="1" ht="24.75" customHeight="1" x14ac:dyDescent="0.25">
      <c r="A119" s="11" t="s">
        <v>260</v>
      </c>
      <c r="B119" s="12" t="s">
        <v>261</v>
      </c>
      <c r="C119" s="11" t="s">
        <v>260</v>
      </c>
      <c r="D119" s="13" t="s">
        <v>2</v>
      </c>
      <c r="E119" s="14" t="s">
        <v>2</v>
      </c>
      <c r="F119" s="15" t="s">
        <v>965</v>
      </c>
      <c r="G119" s="16" t="s">
        <v>3</v>
      </c>
      <c r="H119" s="17">
        <v>4520.32</v>
      </c>
      <c r="I119" s="17">
        <v>3766.93</v>
      </c>
      <c r="J119" s="17">
        <f t="shared" si="9"/>
        <v>2893.0047999999997</v>
      </c>
      <c r="K119" s="17">
        <f t="shared" si="10"/>
        <v>3390.24</v>
      </c>
      <c r="L119" s="18">
        <f t="shared" si="11"/>
        <v>-216022160.12159997</v>
      </c>
      <c r="M119" s="18">
        <f t="shared" si="11"/>
        <v>-180018307.47089997</v>
      </c>
      <c r="N119" s="17" t="s">
        <v>4</v>
      </c>
      <c r="O119" s="19">
        <v>1</v>
      </c>
      <c r="P119" s="19">
        <v>1</v>
      </c>
      <c r="Q119" s="19">
        <v>1</v>
      </c>
      <c r="R119" s="11" t="s">
        <v>12</v>
      </c>
      <c r="S119" s="11" t="s">
        <v>21</v>
      </c>
      <c r="T119" s="20" t="s">
        <v>217</v>
      </c>
      <c r="U119" s="20"/>
      <c r="V119" s="16" t="s">
        <v>7</v>
      </c>
      <c r="W119" s="16" t="s">
        <v>6</v>
      </c>
      <c r="X119" s="16"/>
      <c r="Y119" s="21">
        <v>2.59</v>
      </c>
      <c r="Z119" s="22">
        <v>3.6200000000000002E-4</v>
      </c>
      <c r="AA119" s="17" t="e">
        <f t="shared" si="15"/>
        <v>#VALUE!</v>
      </c>
      <c r="AB119" s="17" t="e">
        <f t="shared" si="16"/>
        <v>#VALUE!</v>
      </c>
      <c r="AC119" s="21" t="e">
        <f t="shared" si="17"/>
        <v>#VALUE!</v>
      </c>
    </row>
    <row r="120" spans="1:29" s="23" customFormat="1" ht="24.75" customHeight="1" x14ac:dyDescent="0.25">
      <c r="A120" s="11" t="s">
        <v>262</v>
      </c>
      <c r="B120" s="12" t="s">
        <v>263</v>
      </c>
      <c r="C120" s="11" t="s">
        <v>262</v>
      </c>
      <c r="D120" s="13" t="s">
        <v>2</v>
      </c>
      <c r="E120" s="14" t="s">
        <v>2</v>
      </c>
      <c r="F120" s="15" t="s">
        <v>965</v>
      </c>
      <c r="G120" s="16" t="s">
        <v>3</v>
      </c>
      <c r="H120" s="17">
        <v>5902.4</v>
      </c>
      <c r="I120" s="17">
        <v>4918.67</v>
      </c>
      <c r="J120" s="17">
        <f t="shared" si="9"/>
        <v>3777.5359999999996</v>
      </c>
      <c r="K120" s="17">
        <f t="shared" si="10"/>
        <v>4426.7999999999993</v>
      </c>
      <c r="L120" s="18">
        <f t="shared" si="11"/>
        <v>-282070560.91199994</v>
      </c>
      <c r="M120" s="18">
        <f t="shared" si="11"/>
        <v>-235058960.0571</v>
      </c>
      <c r="N120" s="17" t="s">
        <v>4</v>
      </c>
      <c r="O120" s="19">
        <v>1</v>
      </c>
      <c r="P120" s="19">
        <v>1</v>
      </c>
      <c r="Q120" s="19">
        <v>1</v>
      </c>
      <c r="R120" s="11" t="s">
        <v>12</v>
      </c>
      <c r="S120" s="11" t="s">
        <v>21</v>
      </c>
      <c r="T120" s="20" t="s">
        <v>217</v>
      </c>
      <c r="U120" s="20"/>
      <c r="V120" s="16" t="s">
        <v>7</v>
      </c>
      <c r="W120" s="16" t="s">
        <v>6</v>
      </c>
      <c r="X120" s="16"/>
      <c r="Y120" s="21">
        <v>3.62</v>
      </c>
      <c r="Z120" s="22">
        <v>5.0900000000000001E-4</v>
      </c>
      <c r="AA120" s="17" t="e">
        <f t="shared" si="15"/>
        <v>#VALUE!</v>
      </c>
      <c r="AB120" s="17" t="e">
        <f t="shared" si="16"/>
        <v>#VALUE!</v>
      </c>
      <c r="AC120" s="21" t="e">
        <f t="shared" si="17"/>
        <v>#VALUE!</v>
      </c>
    </row>
    <row r="121" spans="1:29" s="23" customFormat="1" ht="24.75" customHeight="1" x14ac:dyDescent="0.25">
      <c r="A121" s="11" t="s">
        <v>264</v>
      </c>
      <c r="B121" s="12" t="s">
        <v>265</v>
      </c>
      <c r="C121" s="11" t="s">
        <v>264</v>
      </c>
      <c r="D121" s="13" t="s">
        <v>2</v>
      </c>
      <c r="E121" s="14" t="s">
        <v>2</v>
      </c>
      <c r="F121" s="15" t="s">
        <v>965</v>
      </c>
      <c r="G121" s="16" t="s">
        <v>11</v>
      </c>
      <c r="H121" s="17">
        <v>5442.08</v>
      </c>
      <c r="I121" s="17">
        <v>4535.07</v>
      </c>
      <c r="J121" s="17">
        <f t="shared" si="9"/>
        <v>3482.9312</v>
      </c>
      <c r="K121" s="17">
        <f t="shared" si="10"/>
        <v>4081.56</v>
      </c>
      <c r="L121" s="18">
        <f t="shared" si="11"/>
        <v>-260072268.59039998</v>
      </c>
      <c r="M121" s="18">
        <f t="shared" si="11"/>
        <v>-216727049.78909996</v>
      </c>
      <c r="N121" s="17" t="s">
        <v>4</v>
      </c>
      <c r="O121" s="19">
        <v>1</v>
      </c>
      <c r="P121" s="19">
        <v>1</v>
      </c>
      <c r="Q121" s="19">
        <v>1</v>
      </c>
      <c r="R121" s="11" t="s">
        <v>12</v>
      </c>
      <c r="S121" s="11" t="s">
        <v>21</v>
      </c>
      <c r="T121" s="20" t="s">
        <v>217</v>
      </c>
      <c r="U121" s="20"/>
      <c r="V121" s="16" t="s">
        <v>7</v>
      </c>
      <c r="W121" s="16" t="s">
        <v>6</v>
      </c>
      <c r="X121" s="16"/>
      <c r="Y121" s="21">
        <v>1.49</v>
      </c>
      <c r="Z121" s="22">
        <v>2.31E-4</v>
      </c>
      <c r="AA121" s="17" t="e">
        <f t="shared" si="15"/>
        <v>#VALUE!</v>
      </c>
      <c r="AB121" s="17" t="e">
        <f t="shared" si="16"/>
        <v>#VALUE!</v>
      </c>
      <c r="AC121" s="21" t="e">
        <f t="shared" si="17"/>
        <v>#VALUE!</v>
      </c>
    </row>
    <row r="122" spans="1:29" s="23" customFormat="1" ht="24.75" customHeight="1" x14ac:dyDescent="0.25">
      <c r="A122" s="11" t="s">
        <v>266</v>
      </c>
      <c r="B122" s="12" t="s">
        <v>267</v>
      </c>
      <c r="C122" s="11" t="s">
        <v>266</v>
      </c>
      <c r="D122" s="13" t="s">
        <v>2</v>
      </c>
      <c r="E122" s="14" t="s">
        <v>2</v>
      </c>
      <c r="F122" s="15" t="s">
        <v>965</v>
      </c>
      <c r="G122" s="16" t="s">
        <v>11</v>
      </c>
      <c r="H122" s="17">
        <v>5894.56</v>
      </c>
      <c r="I122" s="17">
        <v>4912.13</v>
      </c>
      <c r="J122" s="17">
        <f t="shared" si="9"/>
        <v>3772.5184000000004</v>
      </c>
      <c r="K122" s="17">
        <f t="shared" si="10"/>
        <v>4420.92</v>
      </c>
      <c r="L122" s="18">
        <f t="shared" si="11"/>
        <v>-281695894.13279998</v>
      </c>
      <c r="M122" s="18">
        <f t="shared" si="11"/>
        <v>-234746419.1469</v>
      </c>
      <c r="N122" s="17" t="s">
        <v>4</v>
      </c>
      <c r="O122" s="19">
        <v>1</v>
      </c>
      <c r="P122" s="19">
        <v>1</v>
      </c>
      <c r="Q122" s="19">
        <v>1</v>
      </c>
      <c r="R122" s="11" t="s">
        <v>12</v>
      </c>
      <c r="S122" s="11" t="s">
        <v>21</v>
      </c>
      <c r="T122" s="20" t="s">
        <v>217</v>
      </c>
      <c r="U122" s="20"/>
      <c r="V122" s="16" t="s">
        <v>7</v>
      </c>
      <c r="W122" s="16" t="s">
        <v>6</v>
      </c>
      <c r="X122" s="16"/>
      <c r="Y122" s="21">
        <v>1.77</v>
      </c>
      <c r="Z122" s="22">
        <v>3.8299999999999999E-4</v>
      </c>
      <c r="AA122" s="17" t="e">
        <f t="shared" si="15"/>
        <v>#VALUE!</v>
      </c>
      <c r="AB122" s="17" t="e">
        <f t="shared" si="16"/>
        <v>#VALUE!</v>
      </c>
      <c r="AC122" s="21" t="e">
        <f t="shared" si="17"/>
        <v>#VALUE!</v>
      </c>
    </row>
    <row r="123" spans="1:29" s="23" customFormat="1" ht="24.75" customHeight="1" x14ac:dyDescent="0.25">
      <c r="A123" s="11" t="s">
        <v>268</v>
      </c>
      <c r="B123" s="12" t="s">
        <v>269</v>
      </c>
      <c r="C123" s="11" t="s">
        <v>268</v>
      </c>
      <c r="D123" s="13" t="s">
        <v>2</v>
      </c>
      <c r="E123" s="14" t="s">
        <v>2</v>
      </c>
      <c r="F123" s="15" t="s">
        <v>965</v>
      </c>
      <c r="G123" s="16" t="s">
        <v>11</v>
      </c>
      <c r="H123" s="17">
        <v>6345.92</v>
      </c>
      <c r="I123" s="17">
        <v>5288.27</v>
      </c>
      <c r="J123" s="17">
        <f t="shared" si="9"/>
        <v>4061.3888000000002</v>
      </c>
      <c r="K123" s="17">
        <f t="shared" si="10"/>
        <v>4759.4400000000005</v>
      </c>
      <c r="L123" s="18">
        <f t="shared" si="11"/>
        <v>-303265995.84959996</v>
      </c>
      <c r="M123" s="18">
        <f t="shared" si="11"/>
        <v>-252721822.50510001</v>
      </c>
      <c r="N123" s="17" t="s">
        <v>4</v>
      </c>
      <c r="O123" s="19">
        <v>1</v>
      </c>
      <c r="P123" s="19">
        <v>1</v>
      </c>
      <c r="Q123" s="19">
        <v>1</v>
      </c>
      <c r="R123" s="11" t="s">
        <v>12</v>
      </c>
      <c r="S123" s="11" t="s">
        <v>21</v>
      </c>
      <c r="T123" s="20" t="s">
        <v>217</v>
      </c>
      <c r="U123" s="20"/>
      <c r="V123" s="16" t="s">
        <v>7</v>
      </c>
      <c r="W123" s="16" t="s">
        <v>6</v>
      </c>
      <c r="X123" s="16"/>
      <c r="Y123" s="21">
        <v>2.06</v>
      </c>
      <c r="Z123" s="22">
        <v>5.3399999999999997E-4</v>
      </c>
      <c r="AA123" s="17" t="e">
        <f t="shared" si="15"/>
        <v>#VALUE!</v>
      </c>
      <c r="AB123" s="17" t="e">
        <f t="shared" si="16"/>
        <v>#VALUE!</v>
      </c>
      <c r="AC123" s="21" t="e">
        <f t="shared" si="17"/>
        <v>#VALUE!</v>
      </c>
    </row>
    <row r="124" spans="1:29" s="23" customFormat="1" ht="24.75" customHeight="1" x14ac:dyDescent="0.25">
      <c r="A124" s="11" t="s">
        <v>270</v>
      </c>
      <c r="B124" s="12" t="s">
        <v>271</v>
      </c>
      <c r="C124" s="11" t="s">
        <v>270</v>
      </c>
      <c r="D124" s="13" t="s">
        <v>2</v>
      </c>
      <c r="E124" s="14" t="s">
        <v>2</v>
      </c>
      <c r="F124" s="15" t="s">
        <v>965</v>
      </c>
      <c r="G124" s="16" t="s">
        <v>11</v>
      </c>
      <c r="H124" s="17">
        <v>6014.4</v>
      </c>
      <c r="I124" s="17">
        <v>5012</v>
      </c>
      <c r="J124" s="17">
        <f t="shared" si="9"/>
        <v>3849.2159999999999</v>
      </c>
      <c r="K124" s="17">
        <f t="shared" si="10"/>
        <v>4510.7999999999993</v>
      </c>
      <c r="L124" s="18">
        <f t="shared" si="11"/>
        <v>-287422943.47199994</v>
      </c>
      <c r="M124" s="18">
        <f t="shared" si="11"/>
        <v>-239519119.55999997</v>
      </c>
      <c r="N124" s="17" t="s">
        <v>9</v>
      </c>
      <c r="O124" s="19">
        <v>1</v>
      </c>
      <c r="P124" s="19">
        <v>1</v>
      </c>
      <c r="Q124" s="19">
        <v>1</v>
      </c>
      <c r="R124" s="11" t="s">
        <v>12</v>
      </c>
      <c r="S124" s="11" t="s">
        <v>21</v>
      </c>
      <c r="T124" s="20" t="s">
        <v>217</v>
      </c>
      <c r="U124" s="20"/>
      <c r="V124" s="16" t="s">
        <v>7</v>
      </c>
      <c r="W124" s="16" t="s">
        <v>6</v>
      </c>
      <c r="X124" s="16"/>
      <c r="Y124" s="21">
        <v>2.1800000000000002</v>
      </c>
      <c r="Z124" s="22">
        <v>3.2299999999999999E-4</v>
      </c>
      <c r="AA124" s="17" t="e">
        <f t="shared" si="15"/>
        <v>#VALUE!</v>
      </c>
      <c r="AB124" s="17" t="e">
        <f t="shared" si="16"/>
        <v>#VALUE!</v>
      </c>
      <c r="AC124" s="21" t="e">
        <f t="shared" si="17"/>
        <v>#VALUE!</v>
      </c>
    </row>
    <row r="125" spans="1:29" s="23" customFormat="1" ht="24.75" customHeight="1" x14ac:dyDescent="0.25">
      <c r="A125" s="11" t="s">
        <v>272</v>
      </c>
      <c r="B125" s="12" t="s">
        <v>273</v>
      </c>
      <c r="C125" s="11" t="s">
        <v>272</v>
      </c>
      <c r="D125" s="13" t="s">
        <v>2</v>
      </c>
      <c r="E125" s="14" t="s">
        <v>2</v>
      </c>
      <c r="F125" s="15" t="s">
        <v>965</v>
      </c>
      <c r="G125" s="16" t="s">
        <v>11</v>
      </c>
      <c r="H125" s="17">
        <v>6649.44</v>
      </c>
      <c r="I125" s="17">
        <v>5541.2</v>
      </c>
      <c r="J125" s="17">
        <f t="shared" si="9"/>
        <v>4255.641599999999</v>
      </c>
      <c r="K125" s="17">
        <f t="shared" si="10"/>
        <v>4987.08</v>
      </c>
      <c r="L125" s="18">
        <f t="shared" si="11"/>
        <v>-317770952.58719999</v>
      </c>
      <c r="M125" s="18">
        <f t="shared" si="11"/>
        <v>-264809127.15599999</v>
      </c>
      <c r="N125" s="17" t="s">
        <v>9</v>
      </c>
      <c r="O125" s="19">
        <v>1</v>
      </c>
      <c r="P125" s="19">
        <v>1</v>
      </c>
      <c r="Q125" s="19">
        <v>1</v>
      </c>
      <c r="R125" s="11" t="s">
        <v>12</v>
      </c>
      <c r="S125" s="11" t="s">
        <v>21</v>
      </c>
      <c r="T125" s="20" t="s">
        <v>217</v>
      </c>
      <c r="U125" s="20"/>
      <c r="V125" s="16" t="s">
        <v>7</v>
      </c>
      <c r="W125" s="16" t="s">
        <v>6</v>
      </c>
      <c r="X125" s="16"/>
      <c r="Y125" s="21">
        <v>2.62</v>
      </c>
      <c r="Z125" s="22">
        <v>5.3399999999999997E-4</v>
      </c>
      <c r="AA125" s="17" t="e">
        <f t="shared" si="15"/>
        <v>#VALUE!</v>
      </c>
      <c r="AB125" s="17" t="e">
        <f t="shared" si="16"/>
        <v>#VALUE!</v>
      </c>
      <c r="AC125" s="21" t="e">
        <f t="shared" si="17"/>
        <v>#VALUE!</v>
      </c>
    </row>
    <row r="126" spans="1:29" s="23" customFormat="1" ht="24.75" customHeight="1" x14ac:dyDescent="0.25">
      <c r="A126" s="11" t="s">
        <v>274</v>
      </c>
      <c r="B126" s="12" t="s">
        <v>275</v>
      </c>
      <c r="C126" s="11" t="s">
        <v>274</v>
      </c>
      <c r="D126" s="13" t="s">
        <v>2</v>
      </c>
      <c r="E126" s="14" t="s">
        <v>2</v>
      </c>
      <c r="F126" s="15" t="s">
        <v>965</v>
      </c>
      <c r="G126" s="16" t="s">
        <v>11</v>
      </c>
      <c r="H126" s="17">
        <v>7284.48</v>
      </c>
      <c r="I126" s="17">
        <v>6070.4</v>
      </c>
      <c r="J126" s="17">
        <f t="shared" si="9"/>
        <v>4662.0671999999995</v>
      </c>
      <c r="K126" s="17">
        <f t="shared" si="10"/>
        <v>5463.36</v>
      </c>
      <c r="L126" s="18">
        <f t="shared" si="11"/>
        <v>-348118961.70239997</v>
      </c>
      <c r="M126" s="18">
        <f t="shared" si="11"/>
        <v>-290099134.75199997</v>
      </c>
      <c r="N126" s="17" t="s">
        <v>9</v>
      </c>
      <c r="O126" s="19">
        <v>1</v>
      </c>
      <c r="P126" s="19">
        <v>1</v>
      </c>
      <c r="Q126" s="19">
        <v>1</v>
      </c>
      <c r="R126" s="11" t="s">
        <v>12</v>
      </c>
      <c r="S126" s="11" t="s">
        <v>21</v>
      </c>
      <c r="T126" s="20" t="s">
        <v>217</v>
      </c>
      <c r="U126" s="20"/>
      <c r="V126" s="16" t="s">
        <v>7</v>
      </c>
      <c r="W126" s="16" t="s">
        <v>6</v>
      </c>
      <c r="X126" s="16"/>
      <c r="Y126" s="21">
        <v>3.05</v>
      </c>
      <c r="Z126" s="22">
        <v>7.4600000000000003E-4</v>
      </c>
      <c r="AA126" s="17" t="e">
        <f t="shared" si="15"/>
        <v>#VALUE!</v>
      </c>
      <c r="AB126" s="17" t="e">
        <f t="shared" si="16"/>
        <v>#VALUE!</v>
      </c>
      <c r="AC126" s="21" t="e">
        <f t="shared" si="17"/>
        <v>#VALUE!</v>
      </c>
    </row>
    <row r="127" spans="1:29" s="23" customFormat="1" ht="24.75" customHeight="1" x14ac:dyDescent="0.25">
      <c r="A127" s="11" t="s">
        <v>276</v>
      </c>
      <c r="B127" s="12" t="s">
        <v>277</v>
      </c>
      <c r="C127" s="11" t="s">
        <v>276</v>
      </c>
      <c r="D127" s="13" t="s">
        <v>2</v>
      </c>
      <c r="E127" s="14" t="s">
        <v>2</v>
      </c>
      <c r="F127" s="15" t="s">
        <v>965</v>
      </c>
      <c r="G127" s="16" t="s">
        <v>11</v>
      </c>
      <c r="H127" s="17">
        <v>7936.32</v>
      </c>
      <c r="I127" s="17">
        <v>6613.6</v>
      </c>
      <c r="J127" s="17">
        <f t="shared" si="9"/>
        <v>5079.2447999999995</v>
      </c>
      <c r="K127" s="17">
        <f t="shared" si="10"/>
        <v>5952.24</v>
      </c>
      <c r="L127" s="18">
        <f t="shared" si="11"/>
        <v>-379269828.20159996</v>
      </c>
      <c r="M127" s="18">
        <f t="shared" si="11"/>
        <v>-316058190.16799998</v>
      </c>
      <c r="N127" s="17" t="s">
        <v>4</v>
      </c>
      <c r="O127" s="19">
        <v>1</v>
      </c>
      <c r="P127" s="19">
        <v>1</v>
      </c>
      <c r="Q127" s="19">
        <v>1</v>
      </c>
      <c r="R127" s="11" t="s">
        <v>12</v>
      </c>
      <c r="S127" s="11" t="s">
        <v>21</v>
      </c>
      <c r="T127" s="20" t="s">
        <v>217</v>
      </c>
      <c r="U127" s="20"/>
      <c r="V127" s="16" t="s">
        <v>7</v>
      </c>
      <c r="W127" s="16" t="s">
        <v>6</v>
      </c>
      <c r="X127" s="16"/>
      <c r="Y127" s="21">
        <v>3.52</v>
      </c>
      <c r="Z127" s="22">
        <v>5.0699999999999996E-4</v>
      </c>
      <c r="AA127" s="17" t="e">
        <f t="shared" si="15"/>
        <v>#VALUE!</v>
      </c>
      <c r="AB127" s="17" t="e">
        <f t="shared" si="16"/>
        <v>#VALUE!</v>
      </c>
      <c r="AC127" s="21" t="e">
        <f t="shared" si="17"/>
        <v>#VALUE!</v>
      </c>
    </row>
    <row r="128" spans="1:29" s="23" customFormat="1" ht="24.75" customHeight="1" x14ac:dyDescent="0.25">
      <c r="A128" s="11" t="s">
        <v>278</v>
      </c>
      <c r="B128" s="12" t="s">
        <v>279</v>
      </c>
      <c r="C128" s="11" t="s">
        <v>278</v>
      </c>
      <c r="D128" s="13" t="s">
        <v>2</v>
      </c>
      <c r="E128" s="14" t="s">
        <v>2</v>
      </c>
      <c r="F128" s="15" t="s">
        <v>965</v>
      </c>
      <c r="G128" s="16" t="s">
        <v>11</v>
      </c>
      <c r="H128" s="17">
        <v>8980.16</v>
      </c>
      <c r="I128" s="17">
        <v>7483.47</v>
      </c>
      <c r="J128" s="17">
        <f t="shared" si="9"/>
        <v>5747.3023999999996</v>
      </c>
      <c r="K128" s="17">
        <f t="shared" si="10"/>
        <v>6735.12</v>
      </c>
      <c r="L128" s="18">
        <f t="shared" si="11"/>
        <v>-429154033.66079998</v>
      </c>
      <c r="M128" s="18">
        <f t="shared" si="11"/>
        <v>-357628520.68110001</v>
      </c>
      <c r="N128" s="17" t="s">
        <v>9</v>
      </c>
      <c r="O128" s="19">
        <v>1</v>
      </c>
      <c r="P128" s="19">
        <v>1</v>
      </c>
      <c r="Q128" s="19">
        <v>1</v>
      </c>
      <c r="R128" s="11" t="s">
        <v>12</v>
      </c>
      <c r="S128" s="11" t="s">
        <v>21</v>
      </c>
      <c r="T128" s="20" t="s">
        <v>217</v>
      </c>
      <c r="U128" s="20"/>
      <c r="V128" s="16" t="s">
        <v>7</v>
      </c>
      <c r="W128" s="16" t="s">
        <v>6</v>
      </c>
      <c r="X128" s="16"/>
      <c r="Y128" s="21">
        <v>4.26</v>
      </c>
      <c r="Z128" s="22">
        <v>8.3799999999999999E-4</v>
      </c>
      <c r="AA128" s="17" t="e">
        <f t="shared" si="15"/>
        <v>#VALUE!</v>
      </c>
      <c r="AB128" s="17" t="e">
        <f t="shared" si="16"/>
        <v>#VALUE!</v>
      </c>
      <c r="AC128" s="21" t="e">
        <f t="shared" si="17"/>
        <v>#VALUE!</v>
      </c>
    </row>
    <row r="129" spans="1:29" s="23" customFormat="1" ht="24.75" customHeight="1" x14ac:dyDescent="0.25">
      <c r="A129" s="11" t="s">
        <v>280</v>
      </c>
      <c r="B129" s="12" t="s">
        <v>281</v>
      </c>
      <c r="C129" s="11" t="s">
        <v>280</v>
      </c>
      <c r="D129" s="13" t="s">
        <v>2</v>
      </c>
      <c r="E129" s="14" t="s">
        <v>2</v>
      </c>
      <c r="F129" s="15" t="s">
        <v>965</v>
      </c>
      <c r="G129" s="16" t="s">
        <v>11</v>
      </c>
      <c r="H129" s="17">
        <v>10018.4</v>
      </c>
      <c r="I129" s="17">
        <v>8348.67</v>
      </c>
      <c r="J129" s="17">
        <f t="shared" si="9"/>
        <v>6411.7759999999998</v>
      </c>
      <c r="K129" s="17">
        <f t="shared" si="10"/>
        <v>7513.7999999999993</v>
      </c>
      <c r="L129" s="18">
        <f t="shared" si="11"/>
        <v>-478770619.99199998</v>
      </c>
      <c r="M129" s="18">
        <f t="shared" si="11"/>
        <v>-398975675.95709997</v>
      </c>
      <c r="N129" s="17" t="s">
        <v>4</v>
      </c>
      <c r="O129" s="19">
        <v>1</v>
      </c>
      <c r="P129" s="19">
        <v>1</v>
      </c>
      <c r="Q129" s="19">
        <v>1</v>
      </c>
      <c r="R129" s="11" t="s">
        <v>12</v>
      </c>
      <c r="S129" s="11" t="s">
        <v>21</v>
      </c>
      <c r="T129" s="20" t="s">
        <v>217</v>
      </c>
      <c r="U129" s="20"/>
      <c r="V129" s="16" t="s">
        <v>7</v>
      </c>
      <c r="W129" s="16" t="s">
        <v>6</v>
      </c>
      <c r="X129" s="16"/>
      <c r="Y129" s="21">
        <v>5</v>
      </c>
      <c r="Z129" s="22">
        <v>1.1689999999999999E-3</v>
      </c>
      <c r="AA129" s="17" t="e">
        <f t="shared" si="15"/>
        <v>#VALUE!</v>
      </c>
      <c r="AB129" s="17" t="e">
        <f t="shared" si="16"/>
        <v>#VALUE!</v>
      </c>
      <c r="AC129" s="21" t="e">
        <f t="shared" si="17"/>
        <v>#VALUE!</v>
      </c>
    </row>
    <row r="130" spans="1:29" s="23" customFormat="1" ht="24.75" customHeight="1" x14ac:dyDescent="0.25">
      <c r="A130" s="11" t="s">
        <v>282</v>
      </c>
      <c r="B130" s="12" t="s">
        <v>283</v>
      </c>
      <c r="C130" s="11" t="s">
        <v>282</v>
      </c>
      <c r="D130" s="13" t="s">
        <v>2</v>
      </c>
      <c r="E130" s="14" t="s">
        <v>2</v>
      </c>
      <c r="F130" s="15" t="s">
        <v>965</v>
      </c>
      <c r="G130" s="16" t="s">
        <v>11</v>
      </c>
      <c r="H130" s="17">
        <v>9596.16</v>
      </c>
      <c r="I130" s="17">
        <v>7996.8</v>
      </c>
      <c r="J130" s="17">
        <f t="shared" si="9"/>
        <v>6141.5424000000003</v>
      </c>
      <c r="K130" s="17">
        <f t="shared" si="10"/>
        <v>7197.12</v>
      </c>
      <c r="L130" s="18">
        <f t="shared" si="11"/>
        <v>-458592137.74079996</v>
      </c>
      <c r="M130" s="18">
        <f t="shared" si="11"/>
        <v>-382160114.78399998</v>
      </c>
      <c r="N130" s="17" t="s">
        <v>4</v>
      </c>
      <c r="O130" s="19">
        <v>1</v>
      </c>
      <c r="P130" s="19">
        <v>1</v>
      </c>
      <c r="Q130" s="19">
        <v>1</v>
      </c>
      <c r="R130" s="11" t="s">
        <v>12</v>
      </c>
      <c r="S130" s="11" t="s">
        <v>21</v>
      </c>
      <c r="T130" s="20" t="s">
        <v>217</v>
      </c>
      <c r="U130" s="20"/>
      <c r="V130" s="16" t="s">
        <v>7</v>
      </c>
      <c r="W130" s="16" t="s">
        <v>6</v>
      </c>
      <c r="X130" s="16"/>
      <c r="Y130" s="21">
        <v>4.8600000000000003</v>
      </c>
      <c r="Z130" s="22">
        <v>6.8999999999999997E-4</v>
      </c>
      <c r="AA130" s="17" t="e">
        <f t="shared" si="15"/>
        <v>#VALUE!</v>
      </c>
      <c r="AB130" s="17" t="e">
        <f t="shared" si="16"/>
        <v>#VALUE!</v>
      </c>
      <c r="AC130" s="21" t="e">
        <f t="shared" si="17"/>
        <v>#VALUE!</v>
      </c>
    </row>
    <row r="131" spans="1:29" s="23" customFormat="1" ht="24.75" customHeight="1" x14ac:dyDescent="0.25">
      <c r="A131" s="11" t="s">
        <v>284</v>
      </c>
      <c r="B131" s="12" t="s">
        <v>285</v>
      </c>
      <c r="C131" s="11" t="s">
        <v>284</v>
      </c>
      <c r="D131" s="13" t="s">
        <v>2</v>
      </c>
      <c r="E131" s="14" t="s">
        <v>2</v>
      </c>
      <c r="F131" s="15" t="s">
        <v>965</v>
      </c>
      <c r="G131" s="16" t="s">
        <v>11</v>
      </c>
      <c r="H131" s="17">
        <v>11032</v>
      </c>
      <c r="I131" s="17">
        <v>9193.33</v>
      </c>
      <c r="J131" s="17">
        <f t="shared" ref="J131:J138" si="18">H131-(36 *H131/100)</f>
        <v>7060.48</v>
      </c>
      <c r="K131" s="17">
        <f t="shared" ref="K131:K138" si="19">H131-(25 *H131/100)</f>
        <v>8274</v>
      </c>
      <c r="L131" s="18">
        <f t="shared" ref="L131:M138" si="20">IF(H131="","",H131*(1-$H$3))</f>
        <v>-527209682.15999997</v>
      </c>
      <c r="M131" s="18">
        <f t="shared" si="20"/>
        <v>-439341242.50289994</v>
      </c>
      <c r="N131" s="17" t="s">
        <v>9</v>
      </c>
      <c r="O131" s="19">
        <v>1</v>
      </c>
      <c r="P131" s="19">
        <v>1</v>
      </c>
      <c r="Q131" s="19">
        <v>1</v>
      </c>
      <c r="R131" s="11" t="s">
        <v>12</v>
      </c>
      <c r="S131" s="11" t="s">
        <v>21</v>
      </c>
      <c r="T131" s="20" t="s">
        <v>217</v>
      </c>
      <c r="U131" s="20"/>
      <c r="V131" s="16" t="s">
        <v>7</v>
      </c>
      <c r="W131" s="16" t="s">
        <v>6</v>
      </c>
      <c r="X131" s="16"/>
      <c r="Y131" s="21">
        <v>5.88</v>
      </c>
      <c r="Z131" s="22">
        <v>1.142E-3</v>
      </c>
      <c r="AA131" s="17" t="e">
        <f t="shared" ref="AA131:AA138" si="21">IF(OR(F131="",L131=""),"",F131*L131)</f>
        <v>#VALUE!</v>
      </c>
      <c r="AB131" s="17" t="e">
        <f t="shared" ref="AB131:AB137" si="22">IF(OR(F131="",Y131=""),"",Y131*F131)</f>
        <v>#VALUE!</v>
      </c>
      <c r="AC131" s="21" t="e">
        <f t="shared" ref="AC131:AC137" si="23">IF(OR(F131="",Z131=""),"",F131*Z131)</f>
        <v>#VALUE!</v>
      </c>
    </row>
    <row r="132" spans="1:29" s="23" customFormat="1" ht="24.75" customHeight="1" x14ac:dyDescent="0.25">
      <c r="A132" s="11" t="s">
        <v>286</v>
      </c>
      <c r="B132" s="12" t="s">
        <v>287</v>
      </c>
      <c r="C132" s="11" t="s">
        <v>286</v>
      </c>
      <c r="D132" s="13" t="s">
        <v>2</v>
      </c>
      <c r="E132" s="14" t="s">
        <v>2</v>
      </c>
      <c r="F132" s="15" t="s">
        <v>965</v>
      </c>
      <c r="G132" s="16" t="s">
        <v>11</v>
      </c>
      <c r="H132" s="17">
        <v>12465.6</v>
      </c>
      <c r="I132" s="17">
        <v>10388</v>
      </c>
      <c r="J132" s="17">
        <f t="shared" si="18"/>
        <v>7977.9840000000004</v>
      </c>
      <c r="K132" s="17">
        <f t="shared" si="19"/>
        <v>9349.2000000000007</v>
      </c>
      <c r="L132" s="18">
        <f t="shared" si="20"/>
        <v>-595720178.92799997</v>
      </c>
      <c r="M132" s="18">
        <f t="shared" si="20"/>
        <v>-496433482.44</v>
      </c>
      <c r="N132" s="17" t="s">
        <v>4</v>
      </c>
      <c r="O132" s="19">
        <v>1</v>
      </c>
      <c r="P132" s="19">
        <v>1</v>
      </c>
      <c r="Q132" s="19">
        <v>1</v>
      </c>
      <c r="R132" s="11" t="s">
        <v>12</v>
      </c>
      <c r="S132" s="11" t="s">
        <v>21</v>
      </c>
      <c r="T132" s="20" t="s">
        <v>217</v>
      </c>
      <c r="U132" s="20"/>
      <c r="V132" s="16" t="s">
        <v>7</v>
      </c>
      <c r="W132" s="16" t="s">
        <v>6</v>
      </c>
      <c r="X132" s="16"/>
      <c r="Y132" s="21">
        <v>6.91</v>
      </c>
      <c r="Z132" s="22">
        <v>1.593E-3</v>
      </c>
      <c r="AA132" s="17" t="e">
        <f t="shared" si="21"/>
        <v>#VALUE!</v>
      </c>
      <c r="AB132" s="17" t="e">
        <f t="shared" si="22"/>
        <v>#VALUE!</v>
      </c>
      <c r="AC132" s="21" t="e">
        <f t="shared" si="23"/>
        <v>#VALUE!</v>
      </c>
    </row>
    <row r="133" spans="1:29" s="23" customFormat="1" ht="24.75" customHeight="1" x14ac:dyDescent="0.25">
      <c r="A133" s="11" t="s">
        <v>288</v>
      </c>
      <c r="B133" s="12" t="s">
        <v>289</v>
      </c>
      <c r="C133" s="11" t="s">
        <v>288</v>
      </c>
      <c r="D133" s="13" t="s">
        <v>2</v>
      </c>
      <c r="E133" s="14" t="s">
        <v>2</v>
      </c>
      <c r="F133" s="15" t="s">
        <v>965</v>
      </c>
      <c r="G133" s="16" t="s">
        <v>11</v>
      </c>
      <c r="H133" s="17">
        <v>1400</v>
      </c>
      <c r="I133" s="17">
        <v>1166.67</v>
      </c>
      <c r="J133" s="17">
        <f t="shared" si="18"/>
        <v>896</v>
      </c>
      <c r="K133" s="17">
        <f t="shared" si="19"/>
        <v>1050</v>
      </c>
      <c r="L133" s="18">
        <f t="shared" si="20"/>
        <v>-66904782</v>
      </c>
      <c r="M133" s="18">
        <f t="shared" si="20"/>
        <v>-55754144.2971</v>
      </c>
      <c r="N133" s="17" t="s">
        <v>4</v>
      </c>
      <c r="O133" s="19">
        <v>1</v>
      </c>
      <c r="P133" s="19">
        <v>1</v>
      </c>
      <c r="Q133" s="19">
        <v>1</v>
      </c>
      <c r="R133" s="11" t="s">
        <v>12</v>
      </c>
      <c r="S133" s="11" t="s">
        <v>21</v>
      </c>
      <c r="T133" s="20" t="s">
        <v>290</v>
      </c>
      <c r="U133" s="20"/>
      <c r="V133" s="16" t="s">
        <v>7</v>
      </c>
      <c r="W133" s="16" t="s">
        <v>6</v>
      </c>
      <c r="X133" s="16"/>
      <c r="Y133" s="21">
        <v>1</v>
      </c>
      <c r="Z133" s="22">
        <v>5.0400000000000002E-3</v>
      </c>
      <c r="AA133" s="17" t="e">
        <f t="shared" si="21"/>
        <v>#VALUE!</v>
      </c>
      <c r="AB133" s="17" t="e">
        <f t="shared" si="22"/>
        <v>#VALUE!</v>
      </c>
      <c r="AC133" s="21" t="e">
        <f t="shared" si="23"/>
        <v>#VALUE!</v>
      </c>
    </row>
    <row r="134" spans="1:29" s="23" customFormat="1" ht="24.75" customHeight="1" x14ac:dyDescent="0.25">
      <c r="A134" s="11" t="s">
        <v>291</v>
      </c>
      <c r="B134" s="12" t="s">
        <v>292</v>
      </c>
      <c r="C134" s="11" t="s">
        <v>291</v>
      </c>
      <c r="D134" s="13" t="s">
        <v>2</v>
      </c>
      <c r="E134" s="14" t="s">
        <v>2</v>
      </c>
      <c r="F134" s="15" t="s">
        <v>965</v>
      </c>
      <c r="G134" s="16" t="s">
        <v>11</v>
      </c>
      <c r="H134" s="17">
        <v>2577.79</v>
      </c>
      <c r="I134" s="17">
        <v>2148.16</v>
      </c>
      <c r="J134" s="17">
        <f t="shared" si="18"/>
        <v>1649.7855999999999</v>
      </c>
      <c r="K134" s="17">
        <f t="shared" si="19"/>
        <v>1933.3425</v>
      </c>
      <c r="L134" s="18">
        <f t="shared" si="20"/>
        <v>-123190341.42269999</v>
      </c>
      <c r="M134" s="18">
        <f t="shared" si="20"/>
        <v>-102658697.50079998</v>
      </c>
      <c r="N134" s="17" t="s">
        <v>9</v>
      </c>
      <c r="O134" s="19">
        <v>1</v>
      </c>
      <c r="P134" s="19">
        <v>1</v>
      </c>
      <c r="Q134" s="19">
        <v>1</v>
      </c>
      <c r="R134" s="11" t="s">
        <v>12</v>
      </c>
      <c r="S134" s="11" t="s">
        <v>21</v>
      </c>
      <c r="T134" s="20" t="s">
        <v>290</v>
      </c>
      <c r="U134" s="20"/>
      <c r="V134" s="16" t="s">
        <v>5</v>
      </c>
      <c r="W134" s="16" t="s">
        <v>6</v>
      </c>
      <c r="X134" s="16"/>
      <c r="Y134" s="21">
        <v>1.2</v>
      </c>
      <c r="Z134" s="22">
        <v>6.4400000000000004E-3</v>
      </c>
      <c r="AA134" s="17" t="e">
        <f t="shared" si="21"/>
        <v>#VALUE!</v>
      </c>
      <c r="AB134" s="17" t="e">
        <f t="shared" si="22"/>
        <v>#VALUE!</v>
      </c>
      <c r="AC134" s="21" t="e">
        <f t="shared" si="23"/>
        <v>#VALUE!</v>
      </c>
    </row>
    <row r="135" spans="1:29" s="23" customFormat="1" ht="24.75" customHeight="1" x14ac:dyDescent="0.25">
      <c r="A135" s="11" t="s">
        <v>293</v>
      </c>
      <c r="B135" s="12" t="s">
        <v>294</v>
      </c>
      <c r="C135" s="11" t="s">
        <v>293</v>
      </c>
      <c r="D135" s="13" t="s">
        <v>2</v>
      </c>
      <c r="E135" s="14" t="s">
        <v>2</v>
      </c>
      <c r="F135" s="15" t="s">
        <v>965</v>
      </c>
      <c r="G135" s="16" t="s">
        <v>11</v>
      </c>
      <c r="H135" s="17">
        <v>3499.78</v>
      </c>
      <c r="I135" s="17">
        <v>2916.48</v>
      </c>
      <c r="J135" s="17">
        <f t="shared" si="18"/>
        <v>2239.8591999999999</v>
      </c>
      <c r="K135" s="17">
        <f t="shared" si="19"/>
        <v>2624.835</v>
      </c>
      <c r="L135" s="18">
        <f t="shared" si="20"/>
        <v>-167251441.39140001</v>
      </c>
      <c r="M135" s="18">
        <f t="shared" si="20"/>
        <v>-139376041.8624</v>
      </c>
      <c r="N135" s="17" t="s">
        <v>9</v>
      </c>
      <c r="O135" s="19">
        <v>1</v>
      </c>
      <c r="P135" s="19">
        <v>1</v>
      </c>
      <c r="Q135" s="19">
        <v>1</v>
      </c>
      <c r="R135" s="11" t="s">
        <v>12</v>
      </c>
      <c r="S135" s="11" t="s">
        <v>21</v>
      </c>
      <c r="T135" s="20" t="s">
        <v>290</v>
      </c>
      <c r="U135" s="20"/>
      <c r="V135" s="16" t="s">
        <v>5</v>
      </c>
      <c r="W135" s="16" t="s">
        <v>6</v>
      </c>
      <c r="X135" s="16"/>
      <c r="Y135" s="21">
        <v>2</v>
      </c>
      <c r="Z135" s="22">
        <v>9.2399999999999999E-3</v>
      </c>
      <c r="AA135" s="17" t="e">
        <f t="shared" si="21"/>
        <v>#VALUE!</v>
      </c>
      <c r="AB135" s="17" t="e">
        <f t="shared" si="22"/>
        <v>#VALUE!</v>
      </c>
      <c r="AC135" s="21" t="e">
        <f t="shared" si="23"/>
        <v>#VALUE!</v>
      </c>
    </row>
    <row r="136" spans="1:29" s="23" customFormat="1" ht="24.75" customHeight="1" x14ac:dyDescent="0.25">
      <c r="A136" s="11" t="s">
        <v>295</v>
      </c>
      <c r="B136" s="12" t="s">
        <v>296</v>
      </c>
      <c r="C136" s="11" t="s">
        <v>295</v>
      </c>
      <c r="D136" s="13" t="s">
        <v>2</v>
      </c>
      <c r="E136" s="14" t="s">
        <v>2</v>
      </c>
      <c r="F136" s="15" t="s">
        <v>965</v>
      </c>
      <c r="G136" s="16" t="s">
        <v>11</v>
      </c>
      <c r="H136" s="17">
        <v>4422.21</v>
      </c>
      <c r="I136" s="17">
        <v>3685.18</v>
      </c>
      <c r="J136" s="17">
        <f t="shared" si="18"/>
        <v>2830.2143999999998</v>
      </c>
      <c r="K136" s="17">
        <f t="shared" si="19"/>
        <v>3316.6575000000003</v>
      </c>
      <c r="L136" s="18">
        <f t="shared" si="20"/>
        <v>-211333568.57729998</v>
      </c>
      <c r="M136" s="18">
        <f t="shared" si="20"/>
        <v>-176111546.09339997</v>
      </c>
      <c r="N136" s="17" t="s">
        <v>9</v>
      </c>
      <c r="O136" s="19">
        <v>1</v>
      </c>
      <c r="P136" s="19">
        <v>1</v>
      </c>
      <c r="Q136" s="19">
        <v>1</v>
      </c>
      <c r="R136" s="11" t="s">
        <v>12</v>
      </c>
      <c r="S136" s="11" t="s">
        <v>21</v>
      </c>
      <c r="T136" s="20" t="s">
        <v>290</v>
      </c>
      <c r="U136" s="20"/>
      <c r="V136" s="16" t="s">
        <v>5</v>
      </c>
      <c r="W136" s="16" t="s">
        <v>6</v>
      </c>
      <c r="X136" s="16"/>
      <c r="Y136" s="21">
        <v>3</v>
      </c>
      <c r="Z136" s="22">
        <v>1.204E-2</v>
      </c>
      <c r="AA136" s="17" t="e">
        <f t="shared" si="21"/>
        <v>#VALUE!</v>
      </c>
      <c r="AB136" s="17" t="e">
        <f t="shared" si="22"/>
        <v>#VALUE!</v>
      </c>
      <c r="AC136" s="21" t="e">
        <f t="shared" si="23"/>
        <v>#VALUE!</v>
      </c>
    </row>
    <row r="137" spans="1:29" s="23" customFormat="1" ht="24.75" customHeight="1" x14ac:dyDescent="0.25">
      <c r="A137" s="11" t="s">
        <v>297</v>
      </c>
      <c r="B137" s="12" t="s">
        <v>298</v>
      </c>
      <c r="C137" s="11" t="s">
        <v>297</v>
      </c>
      <c r="D137" s="13" t="s">
        <v>2</v>
      </c>
      <c r="E137" s="14" t="s">
        <v>2</v>
      </c>
      <c r="F137" s="15" t="s">
        <v>965</v>
      </c>
      <c r="G137" s="16" t="s">
        <v>11</v>
      </c>
      <c r="H137" s="17">
        <v>4898.43</v>
      </c>
      <c r="I137" s="17">
        <v>4082.03</v>
      </c>
      <c r="J137" s="17">
        <f t="shared" si="18"/>
        <v>3134.9952000000003</v>
      </c>
      <c r="K137" s="17">
        <f t="shared" si="19"/>
        <v>3673.8225000000002</v>
      </c>
      <c r="L137" s="18">
        <f t="shared" si="20"/>
        <v>-234091708.0659</v>
      </c>
      <c r="M137" s="18">
        <f t="shared" si="20"/>
        <v>-195076662.3339</v>
      </c>
      <c r="N137" s="17" t="s">
        <v>9</v>
      </c>
      <c r="O137" s="19">
        <v>1</v>
      </c>
      <c r="P137" s="19">
        <v>1</v>
      </c>
      <c r="Q137" s="19">
        <v>1</v>
      </c>
      <c r="R137" s="11" t="s">
        <v>12</v>
      </c>
      <c r="S137" s="11" t="s">
        <v>21</v>
      </c>
      <c r="T137" s="20" t="s">
        <v>290</v>
      </c>
      <c r="U137" s="20"/>
      <c r="V137" s="16" t="s">
        <v>5</v>
      </c>
      <c r="W137" s="16" t="s">
        <v>6</v>
      </c>
      <c r="X137" s="16"/>
      <c r="Y137" s="21">
        <v>2</v>
      </c>
      <c r="Z137" s="22">
        <v>8.0599999999999995E-3</v>
      </c>
      <c r="AA137" s="17" t="e">
        <f t="shared" si="21"/>
        <v>#VALUE!</v>
      </c>
      <c r="AB137" s="17" t="e">
        <f t="shared" si="22"/>
        <v>#VALUE!</v>
      </c>
      <c r="AC137" s="21" t="e">
        <f t="shared" si="23"/>
        <v>#VALUE!</v>
      </c>
    </row>
    <row r="138" spans="1:29" s="23" customFormat="1" ht="24.75" customHeight="1" x14ac:dyDescent="0.25">
      <c r="A138" s="11" t="s">
        <v>853</v>
      </c>
      <c r="B138" s="12" t="s">
        <v>852</v>
      </c>
      <c r="C138" s="11" t="s">
        <v>853</v>
      </c>
      <c r="D138" s="13"/>
      <c r="E138" s="14"/>
      <c r="F138" s="15"/>
      <c r="G138" s="16" t="s">
        <v>11</v>
      </c>
      <c r="H138" s="17">
        <v>5076</v>
      </c>
      <c r="I138" s="17"/>
      <c r="J138" s="24">
        <f t="shared" si="18"/>
        <v>3248.6400000000003</v>
      </c>
      <c r="K138" s="24">
        <f t="shared" si="19"/>
        <v>3807</v>
      </c>
      <c r="L138" s="25">
        <f t="shared" si="20"/>
        <v>-242577623.88</v>
      </c>
      <c r="M138" s="25"/>
      <c r="N138" s="24"/>
      <c r="O138" s="26"/>
      <c r="P138" s="26"/>
      <c r="Q138" s="26"/>
      <c r="R138" s="27"/>
      <c r="S138" s="27"/>
      <c r="T138" s="28"/>
      <c r="U138" s="28"/>
      <c r="V138" s="29"/>
      <c r="W138" s="29"/>
      <c r="X138" s="29"/>
      <c r="Y138" s="30"/>
      <c r="Z138" s="31"/>
      <c r="AA138" s="24" t="str">
        <f t="shared" si="21"/>
        <v/>
      </c>
      <c r="AB138" s="24"/>
      <c r="AC138" s="30"/>
    </row>
    <row r="139" spans="1:29" s="23" customFormat="1" ht="24.75" customHeight="1" x14ac:dyDescent="0.25">
      <c r="A139" s="229" t="s">
        <v>707</v>
      </c>
      <c r="B139" s="230" t="s">
        <v>708</v>
      </c>
      <c r="C139" s="229" t="s">
        <v>707</v>
      </c>
      <c r="D139" s="231" t="s">
        <v>2</v>
      </c>
      <c r="E139" s="232" t="s">
        <v>2</v>
      </c>
      <c r="F139" s="233" t="s">
        <v>967</v>
      </c>
      <c r="G139" s="234" t="s">
        <v>11</v>
      </c>
      <c r="H139" s="235">
        <v>5481.98</v>
      </c>
      <c r="I139" s="235">
        <v>4568.32</v>
      </c>
      <c r="J139" s="235">
        <v>3508.4672</v>
      </c>
      <c r="K139" s="235">
        <v>4111.4849999999997</v>
      </c>
      <c r="L139" s="236">
        <v>5481.98</v>
      </c>
      <c r="M139" s="236">
        <v>4568.32</v>
      </c>
      <c r="N139" s="235" t="s">
        <v>4</v>
      </c>
      <c r="O139" s="237">
        <v>1</v>
      </c>
      <c r="P139" s="237">
        <v>1</v>
      </c>
      <c r="Q139" s="237">
        <v>20</v>
      </c>
      <c r="R139" s="229" t="s">
        <v>299</v>
      </c>
      <c r="S139" s="229" t="s">
        <v>706</v>
      </c>
      <c r="T139" s="238"/>
      <c r="U139" s="238"/>
      <c r="V139" s="234" t="s">
        <v>5</v>
      </c>
      <c r="W139" s="234" t="s">
        <v>10</v>
      </c>
      <c r="X139" s="234"/>
      <c r="Y139" s="239">
        <v>0.72599999999999998</v>
      </c>
      <c r="Z139" s="240">
        <v>2.6559999999999999E-3</v>
      </c>
      <c r="AA139" s="235" t="s">
        <v>722</v>
      </c>
      <c r="AB139" s="235" t="s">
        <v>722</v>
      </c>
      <c r="AC139" s="239" t="s">
        <v>722</v>
      </c>
    </row>
    <row r="140" spans="1:29" s="241" customFormat="1" x14ac:dyDescent="0.25">
      <c r="A140" s="11" t="s">
        <v>854</v>
      </c>
      <c r="B140" s="230" t="s">
        <v>855</v>
      </c>
      <c r="C140" s="11" t="s">
        <v>854</v>
      </c>
      <c r="G140" s="16" t="s">
        <v>11</v>
      </c>
      <c r="H140" s="241">
        <v>3749</v>
      </c>
      <c r="I140" s="241">
        <v>1000</v>
      </c>
    </row>
    <row r="141" spans="1:29" s="241" customFormat="1" x14ac:dyDescent="0.25">
      <c r="A141" s="11" t="s">
        <v>914</v>
      </c>
      <c r="B141" s="230" t="s">
        <v>916</v>
      </c>
      <c r="C141" s="11" t="s">
        <v>914</v>
      </c>
      <c r="G141" s="16" t="s">
        <v>11</v>
      </c>
      <c r="H141" s="241">
        <v>4897</v>
      </c>
      <c r="I141" s="241">
        <v>1000</v>
      </c>
    </row>
    <row r="142" spans="1:29" s="241" customFormat="1" x14ac:dyDescent="0.25">
      <c r="A142" s="11" t="s">
        <v>915</v>
      </c>
      <c r="B142" s="230" t="s">
        <v>917</v>
      </c>
      <c r="C142" s="11" t="s">
        <v>915</v>
      </c>
      <c r="G142" s="16" t="s">
        <v>11</v>
      </c>
      <c r="H142" s="241">
        <v>6149</v>
      </c>
      <c r="I142" s="241">
        <v>1000</v>
      </c>
    </row>
    <row r="143" spans="1:29" s="241" customFormat="1" x14ac:dyDescent="0.25">
      <c r="A143" s="11" t="s">
        <v>1005</v>
      </c>
      <c r="B143" s="11" t="s">
        <v>1006</v>
      </c>
      <c r="C143" s="11" t="s">
        <v>1005</v>
      </c>
      <c r="G143" s="16" t="s">
        <v>11</v>
      </c>
      <c r="H143" s="241">
        <v>7850</v>
      </c>
      <c r="I143" s="241">
        <v>1000</v>
      </c>
    </row>
    <row r="144" spans="1:29" s="241" customFormat="1" ht="25.5" x14ac:dyDescent="0.25">
      <c r="A144" s="11" t="s">
        <v>1007</v>
      </c>
      <c r="B144" s="11" t="s">
        <v>1014</v>
      </c>
      <c r="C144" s="11" t="str">
        <f>A144</f>
        <v>AleSta-ART300</v>
      </c>
      <c r="G144" s="16" t="s">
        <v>11</v>
      </c>
      <c r="H144" s="241">
        <v>2539.5200000000004</v>
      </c>
      <c r="I144" s="241">
        <v>1000</v>
      </c>
    </row>
    <row r="145" spans="1:29" s="241" customFormat="1" ht="25.5" x14ac:dyDescent="0.25">
      <c r="A145" s="11" t="s">
        <v>1008</v>
      </c>
      <c r="B145" s="11" t="s">
        <v>1014</v>
      </c>
      <c r="C145" s="11" t="str">
        <f t="shared" ref="C145:C147" si="24">A145</f>
        <v>AleSta-ART400</v>
      </c>
      <c r="G145" s="16" t="s">
        <v>11</v>
      </c>
      <c r="H145" s="241">
        <v>3326.4</v>
      </c>
      <c r="I145" s="241">
        <v>1000</v>
      </c>
    </row>
    <row r="146" spans="1:29" s="241" customFormat="1" ht="25.5" x14ac:dyDescent="0.25">
      <c r="A146" s="11" t="s">
        <v>1009</v>
      </c>
      <c r="B146" s="11" t="s">
        <v>1014</v>
      </c>
      <c r="C146" s="11" t="str">
        <f t="shared" si="24"/>
        <v>AleSta-ART600</v>
      </c>
      <c r="G146" s="16" t="s">
        <v>11</v>
      </c>
      <c r="H146" s="241">
        <v>3984.3199999999997</v>
      </c>
      <c r="I146" s="241">
        <v>1000</v>
      </c>
    </row>
    <row r="147" spans="1:29" s="241" customFormat="1" ht="25.5" x14ac:dyDescent="0.25">
      <c r="A147" s="11" t="s">
        <v>1010</v>
      </c>
      <c r="B147" s="11" t="s">
        <v>1014</v>
      </c>
      <c r="C147" s="11" t="str">
        <f t="shared" si="24"/>
        <v>AleSta-ART800</v>
      </c>
      <c r="G147" s="16" t="s">
        <v>11</v>
      </c>
      <c r="H147" s="241">
        <v>4739.84</v>
      </c>
      <c r="I147" s="241">
        <v>1000</v>
      </c>
    </row>
    <row r="148" spans="1:29" s="241" customFormat="1" x14ac:dyDescent="0.25">
      <c r="A148" s="11" t="s">
        <v>1015</v>
      </c>
      <c r="B148" s="11" t="s">
        <v>1011</v>
      </c>
      <c r="C148" s="11" t="s">
        <v>1015</v>
      </c>
      <c r="G148" s="16" t="s">
        <v>11</v>
      </c>
      <c r="H148" s="241">
        <v>2692.8</v>
      </c>
      <c r="I148" s="241">
        <v>1000</v>
      </c>
    </row>
    <row r="149" spans="1:29" s="241" customFormat="1" x14ac:dyDescent="0.25">
      <c r="A149" s="11" t="s">
        <v>1016</v>
      </c>
      <c r="B149" s="11" t="s">
        <v>1017</v>
      </c>
      <c r="C149" s="11" t="s">
        <v>1016</v>
      </c>
      <c r="G149" s="16" t="s">
        <v>11</v>
      </c>
      <c r="H149" s="241">
        <v>3450.2400000000002</v>
      </c>
      <c r="I149" s="241">
        <v>1000</v>
      </c>
    </row>
    <row r="150" spans="1:29" s="241" customFormat="1" x14ac:dyDescent="0.25">
      <c r="A150" s="11" t="s">
        <v>1018</v>
      </c>
      <c r="B150" s="11" t="s">
        <v>1019</v>
      </c>
      <c r="C150" s="11" t="s">
        <v>1018</v>
      </c>
      <c r="G150" s="16" t="s">
        <v>11</v>
      </c>
      <c r="H150" s="241">
        <v>4277.4400000000005</v>
      </c>
      <c r="I150" s="241">
        <v>1000</v>
      </c>
    </row>
    <row r="151" spans="1:29" s="241" customFormat="1" x14ac:dyDescent="0.25">
      <c r="A151" s="11" t="s">
        <v>1020</v>
      </c>
      <c r="B151" s="11" t="s">
        <v>1021</v>
      </c>
      <c r="C151" s="11" t="s">
        <v>1020</v>
      </c>
      <c r="G151" s="16" t="s">
        <v>11</v>
      </c>
      <c r="H151" s="241">
        <v>5150.72</v>
      </c>
      <c r="I151" s="241">
        <v>1000</v>
      </c>
    </row>
    <row r="152" spans="1:29" s="10" customFormat="1" x14ac:dyDescent="0.25">
      <c r="A152" s="27"/>
      <c r="B152" s="32"/>
      <c r="C152" s="27"/>
      <c r="G152" s="29"/>
    </row>
    <row r="153" spans="1:29" s="10" customFormat="1" x14ac:dyDescent="0.25">
      <c r="A153" s="27"/>
      <c r="B153" s="32"/>
      <c r="C153" s="27"/>
      <c r="G153" s="29"/>
    </row>
    <row r="154" spans="1:29" s="10" customFormat="1" x14ac:dyDescent="0.25">
      <c r="A154" s="27"/>
      <c r="B154" s="32"/>
      <c r="C154" s="27"/>
      <c r="G154" s="29"/>
    </row>
    <row r="155" spans="1:29" s="10" customFormat="1" x14ac:dyDescent="0.25">
      <c r="A155" s="27"/>
      <c r="B155" s="32"/>
      <c r="C155" s="27"/>
      <c r="G155" s="29"/>
    </row>
    <row r="156" spans="1:29" s="10" customFormat="1" x14ac:dyDescent="0.25">
      <c r="A156" s="27"/>
      <c r="B156" s="32"/>
      <c r="C156" s="27"/>
      <c r="G156" s="29"/>
    </row>
    <row r="157" spans="1:29" s="10" customFormat="1" x14ac:dyDescent="0.25">
      <c r="A157" s="27"/>
      <c r="B157" s="32"/>
      <c r="C157" s="27"/>
      <c r="G157" s="29"/>
    </row>
    <row r="158" spans="1:29" s="10" customFormat="1" x14ac:dyDescent="0.25">
      <c r="A158" s="27"/>
      <c r="B158" s="32"/>
      <c r="C158" s="27"/>
      <c r="G158" s="29"/>
    </row>
    <row r="159" spans="1:29" x14ac:dyDescent="0.25">
      <c r="A159" s="452" t="s">
        <v>883</v>
      </c>
      <c r="B159" s="452"/>
      <c r="C159" s="452"/>
      <c r="D159" s="452"/>
      <c r="E159" s="452"/>
      <c r="F159" s="452"/>
      <c r="G159" s="452"/>
      <c r="H159" s="452"/>
      <c r="I159" s="452"/>
      <c r="J159" s="452"/>
      <c r="K159" s="452"/>
      <c r="L159" s="452"/>
      <c r="M159" s="452"/>
      <c r="N159" s="452"/>
      <c r="O159" s="452"/>
      <c r="P159" s="452"/>
      <c r="Q159" s="452"/>
      <c r="R159" s="452"/>
      <c r="S159" s="452"/>
      <c r="T159" s="452"/>
      <c r="U159" s="452"/>
      <c r="V159" s="452"/>
      <c r="W159" s="452"/>
      <c r="X159" s="452"/>
      <c r="Y159" s="452"/>
      <c r="Z159" s="452"/>
      <c r="AA159" s="452"/>
      <c r="AB159" s="452"/>
      <c r="AC159" s="452"/>
    </row>
    <row r="160" spans="1:29" s="45" customFormat="1" ht="24.75" customHeight="1" x14ac:dyDescent="0.25">
      <c r="A160" s="33" t="s">
        <v>468</v>
      </c>
      <c r="B160" s="34" t="s">
        <v>469</v>
      </c>
      <c r="C160" s="33" t="s">
        <v>468</v>
      </c>
      <c r="D160" s="35" t="s">
        <v>2</v>
      </c>
      <c r="E160" s="36" t="s">
        <v>2</v>
      </c>
      <c r="F160" s="37" t="s">
        <v>968</v>
      </c>
      <c r="G160" s="38" t="s">
        <v>3</v>
      </c>
      <c r="H160" s="39">
        <v>173772.32</v>
      </c>
      <c r="I160" s="39">
        <v>144810.26999999999</v>
      </c>
      <c r="J160" s="39">
        <v>111214.28479999999</v>
      </c>
      <c r="K160" s="39">
        <v>130329.24</v>
      </c>
      <c r="L160" s="40">
        <v>173772.32</v>
      </c>
      <c r="M160" s="40">
        <v>144810.26999999999</v>
      </c>
      <c r="N160" s="39" t="s">
        <v>4</v>
      </c>
      <c r="O160" s="41">
        <v>1</v>
      </c>
      <c r="P160" s="41">
        <v>1</v>
      </c>
      <c r="Q160" s="41">
        <v>1</v>
      </c>
      <c r="R160" s="33" t="s">
        <v>299</v>
      </c>
      <c r="S160" s="33" t="s">
        <v>470</v>
      </c>
      <c r="T160" s="42" t="s">
        <v>471</v>
      </c>
      <c r="U160" s="42"/>
      <c r="V160" s="38" t="s">
        <v>5</v>
      </c>
      <c r="W160" s="38" t="s">
        <v>8</v>
      </c>
      <c r="X160" s="38"/>
      <c r="Y160" s="43">
        <v>36</v>
      </c>
      <c r="Z160" s="44">
        <v>3.8800000000000002E-3</v>
      </c>
      <c r="AA160" s="39" t="s">
        <v>722</v>
      </c>
      <c r="AB160" s="39" t="s">
        <v>722</v>
      </c>
      <c r="AC160" s="43" t="s">
        <v>722</v>
      </c>
    </row>
    <row r="161" spans="1:29" s="45" customFormat="1" ht="24.75" customHeight="1" x14ac:dyDescent="0.25">
      <c r="A161" s="33" t="s">
        <v>472</v>
      </c>
      <c r="B161" s="34" t="s">
        <v>473</v>
      </c>
      <c r="C161" s="33" t="s">
        <v>472</v>
      </c>
      <c r="D161" s="35" t="s">
        <v>2</v>
      </c>
      <c r="E161" s="36" t="s">
        <v>2</v>
      </c>
      <c r="F161" s="37" t="s">
        <v>968</v>
      </c>
      <c r="G161" s="38" t="s">
        <v>3</v>
      </c>
      <c r="H161" s="39">
        <v>180930.05</v>
      </c>
      <c r="I161" s="39">
        <v>150775.04000000001</v>
      </c>
      <c r="J161" s="39">
        <v>115795.23199999999</v>
      </c>
      <c r="K161" s="39">
        <v>135697.53749999998</v>
      </c>
      <c r="L161" s="40">
        <v>180930.05</v>
      </c>
      <c r="M161" s="40">
        <v>150775.04000000001</v>
      </c>
      <c r="N161" s="39" t="s">
        <v>4</v>
      </c>
      <c r="O161" s="41">
        <v>1</v>
      </c>
      <c r="P161" s="41">
        <v>1</v>
      </c>
      <c r="Q161" s="41">
        <v>1</v>
      </c>
      <c r="R161" s="33" t="s">
        <v>299</v>
      </c>
      <c r="S161" s="33" t="s">
        <v>470</v>
      </c>
      <c r="T161" s="42" t="s">
        <v>471</v>
      </c>
      <c r="U161" s="42"/>
      <c r="V161" s="38" t="s">
        <v>5</v>
      </c>
      <c r="W161" s="38" t="s">
        <v>8</v>
      </c>
      <c r="X161" s="38"/>
      <c r="Y161" s="43">
        <v>43</v>
      </c>
      <c r="Z161" s="44">
        <v>7.2090000000000001E-3</v>
      </c>
      <c r="AA161" s="39" t="s">
        <v>722</v>
      </c>
      <c r="AB161" s="39" t="s">
        <v>722</v>
      </c>
      <c r="AC161" s="43" t="s">
        <v>722</v>
      </c>
    </row>
    <row r="162" spans="1:29" s="45" customFormat="1" ht="24.75" customHeight="1" x14ac:dyDescent="0.25">
      <c r="A162" s="33" t="s">
        <v>474</v>
      </c>
      <c r="B162" s="34" t="s">
        <v>475</v>
      </c>
      <c r="C162" s="33" t="s">
        <v>474</v>
      </c>
      <c r="D162" s="35" t="s">
        <v>2</v>
      </c>
      <c r="E162" s="36" t="s">
        <v>2</v>
      </c>
      <c r="F162" s="37" t="s">
        <v>968</v>
      </c>
      <c r="G162" s="38" t="s">
        <v>3</v>
      </c>
      <c r="H162" s="39">
        <v>89029.09</v>
      </c>
      <c r="I162" s="39">
        <v>74190.91</v>
      </c>
      <c r="J162" s="39">
        <v>56978.617599999998</v>
      </c>
      <c r="K162" s="39">
        <v>66771.817500000005</v>
      </c>
      <c r="L162" s="40">
        <v>89029.09</v>
      </c>
      <c r="M162" s="40">
        <v>74190.91</v>
      </c>
      <c r="N162" s="39" t="s">
        <v>4</v>
      </c>
      <c r="O162" s="41">
        <v>1</v>
      </c>
      <c r="P162" s="41">
        <v>1</v>
      </c>
      <c r="Q162" s="41">
        <v>1</v>
      </c>
      <c r="R162" s="33" t="s">
        <v>299</v>
      </c>
      <c r="S162" s="33" t="s">
        <v>470</v>
      </c>
      <c r="T162" s="42" t="s">
        <v>471</v>
      </c>
      <c r="U162" s="42"/>
      <c r="V162" s="38" t="s">
        <v>5</v>
      </c>
      <c r="W162" s="38" t="s">
        <v>8</v>
      </c>
      <c r="X162" s="38"/>
      <c r="Y162" s="43">
        <v>21</v>
      </c>
      <c r="Z162" s="44">
        <v>2.3999999999999998E-3</v>
      </c>
      <c r="AA162" s="39" t="s">
        <v>722</v>
      </c>
      <c r="AB162" s="39" t="s">
        <v>722</v>
      </c>
      <c r="AC162" s="43" t="s">
        <v>722</v>
      </c>
    </row>
    <row r="163" spans="1:29" s="45" customFormat="1" ht="24.75" customHeight="1" x14ac:dyDescent="0.25">
      <c r="A163" s="33" t="s">
        <v>476</v>
      </c>
      <c r="B163" s="34" t="s">
        <v>477</v>
      </c>
      <c r="C163" s="33" t="s">
        <v>476</v>
      </c>
      <c r="D163" s="35" t="s">
        <v>2</v>
      </c>
      <c r="E163" s="36" t="s">
        <v>2</v>
      </c>
      <c r="F163" s="37" t="s">
        <v>968</v>
      </c>
      <c r="G163" s="38" t="s">
        <v>3</v>
      </c>
      <c r="H163" s="39">
        <v>119794.2</v>
      </c>
      <c r="I163" s="39">
        <v>99828.5</v>
      </c>
      <c r="J163" s="39">
        <v>76668.288</v>
      </c>
      <c r="K163" s="39">
        <v>89845.65</v>
      </c>
      <c r="L163" s="40">
        <v>119794.2</v>
      </c>
      <c r="M163" s="40">
        <v>99828.5</v>
      </c>
      <c r="N163" s="39" t="s">
        <v>4</v>
      </c>
      <c r="O163" s="41">
        <v>1</v>
      </c>
      <c r="P163" s="41">
        <v>1</v>
      </c>
      <c r="Q163" s="41">
        <v>1</v>
      </c>
      <c r="R163" s="33" t="s">
        <v>299</v>
      </c>
      <c r="S163" s="33" t="s">
        <v>470</v>
      </c>
      <c r="T163" s="42" t="s">
        <v>471</v>
      </c>
      <c r="U163" s="42"/>
      <c r="V163" s="38" t="s">
        <v>5</v>
      </c>
      <c r="W163" s="38" t="s">
        <v>8</v>
      </c>
      <c r="X163" s="38"/>
      <c r="Y163" s="43">
        <v>27</v>
      </c>
      <c r="Z163" s="44">
        <v>3.2000000000000002E-3</v>
      </c>
      <c r="AA163" s="39" t="s">
        <v>722</v>
      </c>
      <c r="AB163" s="39" t="s">
        <v>722</v>
      </c>
      <c r="AC163" s="43" t="s">
        <v>722</v>
      </c>
    </row>
    <row r="164" spans="1:29" s="45" customFormat="1" ht="24.75" customHeight="1" x14ac:dyDescent="0.25">
      <c r="A164" s="33" t="s">
        <v>478</v>
      </c>
      <c r="B164" s="34" t="s">
        <v>479</v>
      </c>
      <c r="C164" s="33" t="s">
        <v>478</v>
      </c>
      <c r="D164" s="35" t="s">
        <v>2</v>
      </c>
      <c r="E164" s="36" t="s">
        <v>2</v>
      </c>
      <c r="F164" s="37" t="s">
        <v>968</v>
      </c>
      <c r="G164" s="38" t="s">
        <v>3</v>
      </c>
      <c r="H164" s="39">
        <v>20648.05</v>
      </c>
      <c r="I164" s="39">
        <v>17206.71</v>
      </c>
      <c r="J164" s="39">
        <v>13214.752</v>
      </c>
      <c r="K164" s="39">
        <v>15486.037499999999</v>
      </c>
      <c r="L164" s="40">
        <v>20648.05</v>
      </c>
      <c r="M164" s="40">
        <v>17206.71</v>
      </c>
      <c r="N164" s="39" t="s">
        <v>4</v>
      </c>
      <c r="O164" s="41">
        <v>1</v>
      </c>
      <c r="P164" s="41">
        <v>1</v>
      </c>
      <c r="Q164" s="41">
        <v>1</v>
      </c>
      <c r="R164" s="33" t="s">
        <v>299</v>
      </c>
      <c r="S164" s="33" t="s">
        <v>470</v>
      </c>
      <c r="T164" s="42" t="s">
        <v>471</v>
      </c>
      <c r="U164" s="42"/>
      <c r="V164" s="38" t="s">
        <v>5</v>
      </c>
      <c r="W164" s="38" t="s">
        <v>8</v>
      </c>
      <c r="X164" s="38"/>
      <c r="Y164" s="43">
        <v>4</v>
      </c>
      <c r="Z164" s="44">
        <v>4.8000000000000001E-4</v>
      </c>
      <c r="AA164" s="39" t="s">
        <v>722</v>
      </c>
      <c r="AB164" s="39" t="s">
        <v>722</v>
      </c>
      <c r="AC164" s="43" t="s">
        <v>722</v>
      </c>
    </row>
    <row r="165" spans="1:29" s="45" customFormat="1" ht="24.75" customHeight="1" x14ac:dyDescent="0.25">
      <c r="A165" s="33" t="s">
        <v>480</v>
      </c>
      <c r="B165" s="34" t="s">
        <v>481</v>
      </c>
      <c r="C165" s="33" t="s">
        <v>480</v>
      </c>
      <c r="D165" s="35" t="s">
        <v>2</v>
      </c>
      <c r="E165" s="36" t="s">
        <v>2</v>
      </c>
      <c r="F165" s="37" t="s">
        <v>968</v>
      </c>
      <c r="G165" s="38" t="s">
        <v>3</v>
      </c>
      <c r="H165" s="39">
        <v>43685.73</v>
      </c>
      <c r="I165" s="39">
        <v>36404.78</v>
      </c>
      <c r="J165" s="39">
        <v>27958.867200000001</v>
      </c>
      <c r="K165" s="39">
        <v>32764.297500000001</v>
      </c>
      <c r="L165" s="40">
        <v>43685.73</v>
      </c>
      <c r="M165" s="40">
        <v>36404.78</v>
      </c>
      <c r="N165" s="39" t="s">
        <v>4</v>
      </c>
      <c r="O165" s="41">
        <v>1</v>
      </c>
      <c r="P165" s="41">
        <v>1</v>
      </c>
      <c r="Q165" s="41">
        <v>1</v>
      </c>
      <c r="R165" s="33" t="s">
        <v>299</v>
      </c>
      <c r="S165" s="33" t="s">
        <v>470</v>
      </c>
      <c r="T165" s="42" t="s">
        <v>471</v>
      </c>
      <c r="U165" s="42"/>
      <c r="V165" s="38" t="s">
        <v>5</v>
      </c>
      <c r="W165" s="38" t="s">
        <v>8</v>
      </c>
      <c r="X165" s="38"/>
      <c r="Y165" s="43">
        <v>9</v>
      </c>
      <c r="Z165" s="44">
        <v>1E-3</v>
      </c>
      <c r="AA165" s="39" t="s">
        <v>722</v>
      </c>
      <c r="AB165" s="39" t="s">
        <v>722</v>
      </c>
      <c r="AC165" s="43" t="s">
        <v>722</v>
      </c>
    </row>
    <row r="166" spans="1:29" s="45" customFormat="1" ht="24.75" customHeight="1" x14ac:dyDescent="0.25">
      <c r="A166" s="33"/>
      <c r="B166" s="34"/>
      <c r="C166" s="33"/>
      <c r="D166" s="35"/>
      <c r="E166" s="36"/>
      <c r="F166" s="37"/>
      <c r="G166" s="38"/>
      <c r="H166" s="39"/>
      <c r="I166" s="39"/>
      <c r="J166" s="39"/>
      <c r="K166" s="39"/>
      <c r="L166" s="40"/>
      <c r="M166" s="40"/>
      <c r="N166" s="39"/>
      <c r="O166" s="41"/>
      <c r="P166" s="41"/>
      <c r="Q166" s="41"/>
      <c r="R166" s="33"/>
      <c r="S166" s="33"/>
      <c r="T166" s="42"/>
      <c r="U166" s="42"/>
      <c r="V166" s="38"/>
      <c r="W166" s="38"/>
      <c r="X166" s="38"/>
      <c r="Y166" s="43"/>
      <c r="Z166" s="44"/>
      <c r="AA166" s="39"/>
      <c r="AB166" s="39"/>
      <c r="AC166" s="43"/>
    </row>
    <row r="167" spans="1:29" s="45" customFormat="1" ht="24.75" customHeight="1" x14ac:dyDescent="0.25">
      <c r="A167" s="33" t="s">
        <v>482</v>
      </c>
      <c r="B167" s="34" t="s">
        <v>483</v>
      </c>
      <c r="C167" s="33" t="s">
        <v>482</v>
      </c>
      <c r="D167" s="35" t="s">
        <v>2</v>
      </c>
      <c r="E167" s="36" t="s">
        <v>2</v>
      </c>
      <c r="F167" s="37" t="s">
        <v>968</v>
      </c>
      <c r="G167" s="38" t="s">
        <v>3</v>
      </c>
      <c r="H167" s="39">
        <v>23066.15</v>
      </c>
      <c r="I167" s="39">
        <v>19221.79</v>
      </c>
      <c r="J167" s="39">
        <v>14762.336000000001</v>
      </c>
      <c r="K167" s="39">
        <v>17299.612500000003</v>
      </c>
      <c r="L167" s="40">
        <v>23066.15</v>
      </c>
      <c r="M167" s="40">
        <v>19221.79</v>
      </c>
      <c r="N167" s="39" t="s">
        <v>4</v>
      </c>
      <c r="O167" s="41">
        <v>1</v>
      </c>
      <c r="P167" s="41">
        <v>1</v>
      </c>
      <c r="Q167" s="41">
        <v>1</v>
      </c>
      <c r="R167" s="33" t="s">
        <v>299</v>
      </c>
      <c r="S167" s="33" t="s">
        <v>470</v>
      </c>
      <c r="T167" s="42" t="s">
        <v>484</v>
      </c>
      <c r="U167" s="42"/>
      <c r="V167" s="38" t="s">
        <v>5</v>
      </c>
      <c r="W167" s="38" t="s">
        <v>8</v>
      </c>
      <c r="X167" s="38"/>
      <c r="Y167" s="43">
        <v>10</v>
      </c>
      <c r="Z167" s="44">
        <v>4.0099999999999997E-3</v>
      </c>
      <c r="AA167" s="39" t="s">
        <v>722</v>
      </c>
      <c r="AB167" s="39" t="s">
        <v>722</v>
      </c>
      <c r="AC167" s="43" t="s">
        <v>722</v>
      </c>
    </row>
    <row r="168" spans="1:29" s="45" customFormat="1" ht="24.75" customHeight="1" x14ac:dyDescent="0.25">
      <c r="A168" s="33" t="s">
        <v>485</v>
      </c>
      <c r="B168" s="34" t="s">
        <v>486</v>
      </c>
      <c r="C168" s="33" t="s">
        <v>485</v>
      </c>
      <c r="D168" s="35" t="s">
        <v>2</v>
      </c>
      <c r="E168" s="36" t="s">
        <v>2</v>
      </c>
      <c r="F168" s="37" t="s">
        <v>968</v>
      </c>
      <c r="G168" s="38" t="s">
        <v>3</v>
      </c>
      <c r="H168" s="39">
        <v>26152.32</v>
      </c>
      <c r="I168" s="39">
        <v>21793.599999999999</v>
      </c>
      <c r="J168" s="39">
        <v>16737.484799999998</v>
      </c>
      <c r="K168" s="39">
        <v>19614.239999999998</v>
      </c>
      <c r="L168" s="40">
        <v>26152.32</v>
      </c>
      <c r="M168" s="40">
        <v>21793.599999999999</v>
      </c>
      <c r="N168" s="39" t="s">
        <v>4</v>
      </c>
      <c r="O168" s="41">
        <v>1</v>
      </c>
      <c r="P168" s="41">
        <v>1</v>
      </c>
      <c r="Q168" s="41">
        <v>1</v>
      </c>
      <c r="R168" s="33" t="s">
        <v>299</v>
      </c>
      <c r="S168" s="33" t="s">
        <v>470</v>
      </c>
      <c r="T168" s="42" t="s">
        <v>484</v>
      </c>
      <c r="U168" s="42"/>
      <c r="V168" s="38" t="s">
        <v>7</v>
      </c>
      <c r="W168" s="38" t="s">
        <v>8</v>
      </c>
      <c r="X168" s="38"/>
      <c r="Y168" s="43">
        <v>13.01</v>
      </c>
      <c r="Z168" s="44">
        <v>4.7999999999999996E-3</v>
      </c>
      <c r="AA168" s="39" t="s">
        <v>722</v>
      </c>
      <c r="AB168" s="39" t="s">
        <v>722</v>
      </c>
      <c r="AC168" s="43" t="s">
        <v>722</v>
      </c>
    </row>
    <row r="169" spans="1:29" s="45" customFormat="1" ht="24.75" customHeight="1" x14ac:dyDescent="0.25">
      <c r="A169" s="33" t="s">
        <v>487</v>
      </c>
      <c r="B169" s="34" t="s">
        <v>488</v>
      </c>
      <c r="C169" s="33" t="s">
        <v>487</v>
      </c>
      <c r="D169" s="35" t="s">
        <v>2</v>
      </c>
      <c r="E169" s="36" t="s">
        <v>2</v>
      </c>
      <c r="F169" s="37" t="s">
        <v>968</v>
      </c>
      <c r="G169" s="38" t="s">
        <v>3</v>
      </c>
      <c r="H169" s="39">
        <v>12507.67</v>
      </c>
      <c r="I169" s="39">
        <v>10423.06</v>
      </c>
      <c r="J169" s="39">
        <v>8004.9088000000002</v>
      </c>
      <c r="K169" s="39">
        <v>9380.7525000000005</v>
      </c>
      <c r="L169" s="40">
        <v>12507.67</v>
      </c>
      <c r="M169" s="40">
        <v>10423.06</v>
      </c>
      <c r="N169" s="39" t="s">
        <v>4</v>
      </c>
      <c r="O169" s="41">
        <v>1</v>
      </c>
      <c r="P169" s="41">
        <v>1</v>
      </c>
      <c r="Q169" s="41">
        <v>1</v>
      </c>
      <c r="R169" s="33" t="s">
        <v>299</v>
      </c>
      <c r="S169" s="33" t="s">
        <v>470</v>
      </c>
      <c r="T169" s="42" t="s">
        <v>484</v>
      </c>
      <c r="U169" s="42"/>
      <c r="V169" s="38" t="s">
        <v>7</v>
      </c>
      <c r="W169" s="38" t="s">
        <v>8</v>
      </c>
      <c r="X169" s="38"/>
      <c r="Y169" s="43">
        <v>6.5</v>
      </c>
      <c r="Z169" s="44">
        <v>2.3999999999999998E-3</v>
      </c>
      <c r="AA169" s="39" t="s">
        <v>722</v>
      </c>
      <c r="AB169" s="39" t="s">
        <v>722</v>
      </c>
      <c r="AC169" s="43" t="s">
        <v>722</v>
      </c>
    </row>
    <row r="170" spans="1:29" s="45" customFormat="1" ht="24.75" customHeight="1" x14ac:dyDescent="0.25">
      <c r="A170" s="33" t="s">
        <v>489</v>
      </c>
      <c r="B170" s="34" t="s">
        <v>490</v>
      </c>
      <c r="C170" s="33" t="s">
        <v>489</v>
      </c>
      <c r="D170" s="35" t="s">
        <v>2</v>
      </c>
      <c r="E170" s="36" t="s">
        <v>2</v>
      </c>
      <c r="F170" s="37" t="s">
        <v>968</v>
      </c>
      <c r="G170" s="38" t="s">
        <v>3</v>
      </c>
      <c r="H170" s="39">
        <v>2502.2600000000002</v>
      </c>
      <c r="I170" s="39">
        <v>2085.2199999999998</v>
      </c>
      <c r="J170" s="39">
        <v>1601.4464</v>
      </c>
      <c r="K170" s="39">
        <v>1876.6950000000002</v>
      </c>
      <c r="L170" s="40">
        <v>2502.2600000000002</v>
      </c>
      <c r="M170" s="40">
        <v>2085.2199999999998</v>
      </c>
      <c r="N170" s="39" t="s">
        <v>4</v>
      </c>
      <c r="O170" s="41">
        <v>1</v>
      </c>
      <c r="P170" s="41">
        <v>1</v>
      </c>
      <c r="Q170" s="41">
        <v>1</v>
      </c>
      <c r="R170" s="33" t="s">
        <v>299</v>
      </c>
      <c r="S170" s="33" t="s">
        <v>470</v>
      </c>
      <c r="T170" s="42" t="s">
        <v>484</v>
      </c>
      <c r="U170" s="42"/>
      <c r="V170" s="38" t="s">
        <v>7</v>
      </c>
      <c r="W170" s="38" t="s">
        <v>8</v>
      </c>
      <c r="X170" s="38"/>
      <c r="Y170" s="43">
        <v>1</v>
      </c>
      <c r="Z170" s="44">
        <v>3.6000000000000002E-4</v>
      </c>
      <c r="AA170" s="39" t="s">
        <v>722</v>
      </c>
      <c r="AB170" s="39" t="s">
        <v>722</v>
      </c>
      <c r="AC170" s="43" t="s">
        <v>722</v>
      </c>
    </row>
    <row r="171" spans="1:29" s="45" customFormat="1" ht="24.75" customHeight="1" x14ac:dyDescent="0.25">
      <c r="A171" s="33" t="s">
        <v>491</v>
      </c>
      <c r="B171" s="34" t="s">
        <v>492</v>
      </c>
      <c r="C171" s="33" t="s">
        <v>491</v>
      </c>
      <c r="D171" s="35" t="s">
        <v>2</v>
      </c>
      <c r="E171" s="36" t="s">
        <v>2</v>
      </c>
      <c r="F171" s="37" t="s">
        <v>968</v>
      </c>
      <c r="G171" s="38" t="s">
        <v>3</v>
      </c>
      <c r="H171" s="39">
        <v>5388.66</v>
      </c>
      <c r="I171" s="39">
        <v>4490.55</v>
      </c>
      <c r="J171" s="39">
        <v>3448.7424000000001</v>
      </c>
      <c r="K171" s="39">
        <v>4041.4949999999999</v>
      </c>
      <c r="L171" s="40">
        <v>5388.66</v>
      </c>
      <c r="M171" s="40">
        <v>4490.55</v>
      </c>
      <c r="N171" s="39" t="s">
        <v>4</v>
      </c>
      <c r="O171" s="41">
        <v>1</v>
      </c>
      <c r="P171" s="41">
        <v>1</v>
      </c>
      <c r="Q171" s="41">
        <v>1</v>
      </c>
      <c r="R171" s="33" t="s">
        <v>299</v>
      </c>
      <c r="S171" s="33" t="s">
        <v>470</v>
      </c>
      <c r="T171" s="42" t="s">
        <v>484</v>
      </c>
      <c r="U171" s="42"/>
      <c r="V171" s="38" t="s">
        <v>5</v>
      </c>
      <c r="W171" s="38" t="s">
        <v>8</v>
      </c>
      <c r="X171" s="38"/>
      <c r="Y171" s="43">
        <v>2.71</v>
      </c>
      <c r="Z171" s="44">
        <v>1E-3</v>
      </c>
      <c r="AA171" s="39" t="s">
        <v>722</v>
      </c>
      <c r="AB171" s="39" t="s">
        <v>722</v>
      </c>
      <c r="AC171" s="43" t="s">
        <v>722</v>
      </c>
    </row>
    <row r="172" spans="1:29" s="45" customFormat="1" ht="24.75" customHeight="1" x14ac:dyDescent="0.25">
      <c r="A172" s="33" t="s">
        <v>493</v>
      </c>
      <c r="B172" s="34" t="s">
        <v>494</v>
      </c>
      <c r="C172" s="33" t="s">
        <v>493</v>
      </c>
      <c r="D172" s="35" t="s">
        <v>2</v>
      </c>
      <c r="E172" s="36" t="s">
        <v>2</v>
      </c>
      <c r="F172" s="37" t="s">
        <v>968</v>
      </c>
      <c r="G172" s="38" t="s">
        <v>3</v>
      </c>
      <c r="H172" s="39">
        <v>16740.28</v>
      </c>
      <c r="I172" s="39">
        <v>13950.23</v>
      </c>
      <c r="J172" s="39">
        <v>10713.779199999999</v>
      </c>
      <c r="K172" s="39">
        <v>12555.21</v>
      </c>
      <c r="L172" s="40">
        <v>16740.28</v>
      </c>
      <c r="M172" s="40">
        <v>13950.23</v>
      </c>
      <c r="N172" s="39" t="s">
        <v>4</v>
      </c>
      <c r="O172" s="41">
        <v>1</v>
      </c>
      <c r="P172" s="41">
        <v>1</v>
      </c>
      <c r="Q172" s="41">
        <v>1</v>
      </c>
      <c r="R172" s="33" t="s">
        <v>299</v>
      </c>
      <c r="S172" s="33" t="s">
        <v>470</v>
      </c>
      <c r="T172" s="42" t="s">
        <v>484</v>
      </c>
      <c r="U172" s="42"/>
      <c r="V172" s="38" t="s">
        <v>7</v>
      </c>
      <c r="W172" s="38" t="s">
        <v>8</v>
      </c>
      <c r="X172" s="38"/>
      <c r="Y172" s="43">
        <v>8.67</v>
      </c>
      <c r="Z172" s="44">
        <v>3.2000000000000002E-3</v>
      </c>
      <c r="AA172" s="39" t="s">
        <v>722</v>
      </c>
      <c r="AB172" s="39" t="s">
        <v>722</v>
      </c>
      <c r="AC172" s="43" t="s">
        <v>722</v>
      </c>
    </row>
    <row r="173" spans="1:29" s="45" customFormat="1" ht="24.75" customHeight="1" x14ac:dyDescent="0.25">
      <c r="A173" s="33" t="s">
        <v>495</v>
      </c>
      <c r="B173" s="34" t="s">
        <v>496</v>
      </c>
      <c r="C173" s="33" t="s">
        <v>495</v>
      </c>
      <c r="D173" s="35" t="s">
        <v>2</v>
      </c>
      <c r="E173" s="36" t="s">
        <v>2</v>
      </c>
      <c r="F173" s="37" t="s">
        <v>968</v>
      </c>
      <c r="G173" s="38" t="s">
        <v>3</v>
      </c>
      <c r="H173" s="39">
        <v>10005.370000000001</v>
      </c>
      <c r="I173" s="39">
        <v>8337.81</v>
      </c>
      <c r="J173" s="39">
        <v>6403.4368000000013</v>
      </c>
      <c r="K173" s="39">
        <v>7504.0275000000001</v>
      </c>
      <c r="L173" s="40">
        <v>10005.370000000001</v>
      </c>
      <c r="M173" s="40">
        <v>8337.81</v>
      </c>
      <c r="N173" s="39" t="s">
        <v>4</v>
      </c>
      <c r="O173" s="41">
        <v>1</v>
      </c>
      <c r="P173" s="41">
        <v>1</v>
      </c>
      <c r="Q173" s="41">
        <v>1</v>
      </c>
      <c r="R173" s="33" t="s">
        <v>299</v>
      </c>
      <c r="S173" s="33" t="s">
        <v>470</v>
      </c>
      <c r="T173" s="42" t="s">
        <v>484</v>
      </c>
      <c r="U173" s="42"/>
      <c r="V173" s="38" t="s">
        <v>7</v>
      </c>
      <c r="W173" s="38" t="s">
        <v>8</v>
      </c>
      <c r="X173" s="38"/>
      <c r="Y173" s="43">
        <v>5.2</v>
      </c>
      <c r="Z173" s="44">
        <v>1.92E-3</v>
      </c>
      <c r="AA173" s="39" t="s">
        <v>722</v>
      </c>
      <c r="AB173" s="39" t="s">
        <v>722</v>
      </c>
      <c r="AC173" s="43" t="s">
        <v>722</v>
      </c>
    </row>
    <row r="174" spans="1:29" s="117" customFormat="1" ht="24.75" customHeight="1" x14ac:dyDescent="0.25">
      <c r="A174" s="100" t="s">
        <v>939</v>
      </c>
      <c r="B174" s="99" t="s">
        <v>940</v>
      </c>
      <c r="C174" s="100" t="s">
        <v>939</v>
      </c>
      <c r="D174" s="107"/>
      <c r="E174" s="108"/>
      <c r="F174" s="109"/>
      <c r="G174" s="110"/>
      <c r="H174" s="111"/>
      <c r="I174" s="111"/>
      <c r="J174" s="111"/>
      <c r="K174" s="111"/>
      <c r="L174" s="112"/>
      <c r="M174" s="112"/>
      <c r="N174" s="111"/>
      <c r="O174" s="113"/>
      <c r="P174" s="113"/>
      <c r="Q174" s="113"/>
      <c r="R174" s="100"/>
      <c r="S174" s="100"/>
      <c r="T174" s="114"/>
      <c r="U174" s="114"/>
      <c r="V174" s="110"/>
      <c r="W174" s="110"/>
      <c r="X174" s="110"/>
      <c r="Y174" s="115"/>
      <c r="Z174" s="116"/>
      <c r="AA174" s="111"/>
      <c r="AB174" s="111"/>
      <c r="AC174" s="115"/>
    </row>
    <row r="175" spans="1:29" s="45" customFormat="1" ht="24.75" customHeight="1" x14ac:dyDescent="0.25">
      <c r="A175" s="33" t="s">
        <v>497</v>
      </c>
      <c r="B175" s="34" t="s">
        <v>498</v>
      </c>
      <c r="C175" s="33" t="s">
        <v>497</v>
      </c>
      <c r="D175" s="35" t="s">
        <v>2</v>
      </c>
      <c r="E175" s="36" t="s">
        <v>2</v>
      </c>
      <c r="F175" s="37" t="s">
        <v>968</v>
      </c>
      <c r="G175" s="38" t="s">
        <v>3</v>
      </c>
      <c r="H175" s="39">
        <v>13671.87</v>
      </c>
      <c r="I175" s="39">
        <v>11393.23</v>
      </c>
      <c r="J175" s="39">
        <v>8749.9968000000008</v>
      </c>
      <c r="K175" s="39">
        <v>10253.9025</v>
      </c>
      <c r="L175" s="40">
        <v>13671.87</v>
      </c>
      <c r="M175" s="40">
        <v>11393.23</v>
      </c>
      <c r="N175" s="39" t="s">
        <v>4</v>
      </c>
      <c r="O175" s="41">
        <v>1</v>
      </c>
      <c r="P175" s="41">
        <v>1</v>
      </c>
      <c r="Q175" s="41">
        <v>1</v>
      </c>
      <c r="R175" s="33" t="s">
        <v>299</v>
      </c>
      <c r="S175" s="33" t="s">
        <v>470</v>
      </c>
      <c r="T175" s="42" t="s">
        <v>484</v>
      </c>
      <c r="U175" s="42"/>
      <c r="V175" s="38" t="s">
        <v>7</v>
      </c>
      <c r="W175" s="38" t="s">
        <v>8</v>
      </c>
      <c r="X175" s="38"/>
      <c r="Y175" s="43">
        <v>7</v>
      </c>
      <c r="Z175" s="44">
        <v>2.5660000000000001E-3</v>
      </c>
      <c r="AA175" s="39" t="s">
        <v>722</v>
      </c>
      <c r="AB175" s="39" t="s">
        <v>722</v>
      </c>
      <c r="AC175" s="43" t="s">
        <v>722</v>
      </c>
    </row>
    <row r="176" spans="1:29" x14ac:dyDescent="0.25">
      <c r="A176" s="453" t="s">
        <v>884</v>
      </c>
      <c r="B176" s="453"/>
      <c r="C176" s="453"/>
      <c r="D176" s="453"/>
      <c r="E176" s="453"/>
      <c r="F176" s="453"/>
      <c r="G176" s="453"/>
      <c r="H176" s="453"/>
      <c r="I176" s="453"/>
      <c r="J176" s="453"/>
      <c r="K176" s="453"/>
      <c r="L176" s="453"/>
      <c r="M176" s="453"/>
      <c r="N176" s="453"/>
      <c r="O176" s="453"/>
      <c r="P176" s="453"/>
      <c r="Q176" s="453"/>
      <c r="R176" s="453"/>
      <c r="S176" s="453"/>
      <c r="T176" s="453"/>
      <c r="U176" s="453"/>
      <c r="V176" s="453"/>
      <c r="W176" s="453"/>
      <c r="X176" s="453"/>
      <c r="Y176" s="453"/>
      <c r="Z176" s="453"/>
      <c r="AA176" s="453"/>
      <c r="AB176" s="453"/>
      <c r="AC176" s="453"/>
    </row>
    <row r="177" spans="1:29" ht="25.5" x14ac:dyDescent="0.25">
      <c r="A177" s="46" t="s">
        <v>685</v>
      </c>
      <c r="B177" s="47" t="s">
        <v>686</v>
      </c>
      <c r="C177" s="46" t="s">
        <v>685</v>
      </c>
      <c r="D177" s="48" t="s">
        <v>2</v>
      </c>
      <c r="E177" s="49" t="s">
        <v>2</v>
      </c>
      <c r="F177" s="50" t="s">
        <v>969</v>
      </c>
      <c r="G177" s="51" t="s">
        <v>3</v>
      </c>
      <c r="H177" s="52">
        <v>70.63</v>
      </c>
      <c r="I177" s="52">
        <v>58.86</v>
      </c>
      <c r="J177" s="52">
        <v>45.203199999999995</v>
      </c>
      <c r="K177" s="52">
        <v>52.972499999999997</v>
      </c>
      <c r="L177" s="53">
        <v>70.63</v>
      </c>
      <c r="M177" s="53">
        <v>58.86</v>
      </c>
      <c r="N177" s="52" t="s">
        <v>4</v>
      </c>
      <c r="O177" s="54">
        <v>20</v>
      </c>
      <c r="P177" s="54">
        <v>20</v>
      </c>
      <c r="Q177" s="54">
        <v>500</v>
      </c>
      <c r="R177" s="46" t="s">
        <v>299</v>
      </c>
      <c r="S177" s="46" t="s">
        <v>687</v>
      </c>
      <c r="T177" s="55"/>
      <c r="U177" s="55"/>
      <c r="V177" s="51" t="s">
        <v>5</v>
      </c>
      <c r="W177" s="51" t="s">
        <v>8</v>
      </c>
      <c r="X177" s="51"/>
      <c r="Y177" s="56">
        <v>1.06E-2</v>
      </c>
      <c r="Z177" s="57">
        <v>1.0669999999999999E-5</v>
      </c>
      <c r="AA177" s="52" t="s">
        <v>722</v>
      </c>
      <c r="AB177" s="52" t="s">
        <v>722</v>
      </c>
      <c r="AC177" s="56" t="s">
        <v>722</v>
      </c>
    </row>
    <row r="178" spans="1:29" ht="25.5" x14ac:dyDescent="0.25">
      <c r="A178" s="46" t="s">
        <v>688</v>
      </c>
      <c r="B178" s="47" t="s">
        <v>689</v>
      </c>
      <c r="C178" s="46" t="s">
        <v>688</v>
      </c>
      <c r="D178" s="48" t="s">
        <v>2</v>
      </c>
      <c r="E178" s="49" t="s">
        <v>2</v>
      </c>
      <c r="F178" s="50" t="s">
        <v>969</v>
      </c>
      <c r="G178" s="51" t="s">
        <v>3</v>
      </c>
      <c r="H178" s="52">
        <v>67.28</v>
      </c>
      <c r="I178" s="52">
        <v>56.07</v>
      </c>
      <c r="J178" s="52">
        <v>43.059200000000004</v>
      </c>
      <c r="K178" s="52">
        <v>50.46</v>
      </c>
      <c r="L178" s="53">
        <v>67.28</v>
      </c>
      <c r="M178" s="53">
        <v>56.07</v>
      </c>
      <c r="N178" s="52" t="s">
        <v>4</v>
      </c>
      <c r="O178" s="54">
        <v>20</v>
      </c>
      <c r="P178" s="54">
        <v>20</v>
      </c>
      <c r="Q178" s="54">
        <v>500</v>
      </c>
      <c r="R178" s="46" t="s">
        <v>299</v>
      </c>
      <c r="S178" s="46" t="s">
        <v>687</v>
      </c>
      <c r="T178" s="55"/>
      <c r="U178" s="55"/>
      <c r="V178" s="51" t="s">
        <v>5</v>
      </c>
      <c r="W178" s="51" t="s">
        <v>8</v>
      </c>
      <c r="X178" s="51"/>
      <c r="Y178" s="56">
        <v>3.39E-2</v>
      </c>
      <c r="Z178" s="57">
        <v>1.0669999999999999E-5</v>
      </c>
      <c r="AA178" s="52" t="s">
        <v>722</v>
      </c>
      <c r="AB178" s="52" t="s">
        <v>722</v>
      </c>
      <c r="AC178" s="56" t="s">
        <v>722</v>
      </c>
    </row>
    <row r="179" spans="1:29" ht="25.5" x14ac:dyDescent="0.25">
      <c r="A179" s="46" t="s">
        <v>690</v>
      </c>
      <c r="B179" s="47" t="s">
        <v>691</v>
      </c>
      <c r="C179" s="46" t="s">
        <v>690</v>
      </c>
      <c r="D179" s="48" t="s">
        <v>2</v>
      </c>
      <c r="E179" s="49" t="s">
        <v>2</v>
      </c>
      <c r="F179" s="50" t="s">
        <v>969</v>
      </c>
      <c r="G179" s="51" t="s">
        <v>3</v>
      </c>
      <c r="H179" s="52">
        <v>203.75</v>
      </c>
      <c r="I179" s="52">
        <v>169.79</v>
      </c>
      <c r="J179" s="52">
        <v>130.4</v>
      </c>
      <c r="K179" s="52">
        <v>152.8125</v>
      </c>
      <c r="L179" s="53">
        <v>203.75</v>
      </c>
      <c r="M179" s="53">
        <v>169.79</v>
      </c>
      <c r="N179" s="52" t="s">
        <v>4</v>
      </c>
      <c r="O179" s="54">
        <v>20</v>
      </c>
      <c r="P179" s="54">
        <v>20</v>
      </c>
      <c r="Q179" s="54">
        <v>200</v>
      </c>
      <c r="R179" s="46" t="s">
        <v>299</v>
      </c>
      <c r="S179" s="46" t="s">
        <v>687</v>
      </c>
      <c r="T179" s="55"/>
      <c r="U179" s="55"/>
      <c r="V179" s="51" t="s">
        <v>5</v>
      </c>
      <c r="W179" s="51" t="s">
        <v>8</v>
      </c>
      <c r="X179" s="51"/>
      <c r="Y179" s="56">
        <v>3.0300000000000001E-2</v>
      </c>
      <c r="Z179" s="57">
        <v>3.4090000000000001E-5</v>
      </c>
      <c r="AA179" s="52" t="s">
        <v>722</v>
      </c>
      <c r="AB179" s="52" t="s">
        <v>722</v>
      </c>
      <c r="AC179" s="56" t="s">
        <v>722</v>
      </c>
    </row>
    <row r="180" spans="1:29" ht="25.5" x14ac:dyDescent="0.25">
      <c r="A180" s="46" t="s">
        <v>692</v>
      </c>
      <c r="B180" s="47" t="s">
        <v>693</v>
      </c>
      <c r="C180" s="46" t="s">
        <v>692</v>
      </c>
      <c r="D180" s="48" t="s">
        <v>2</v>
      </c>
      <c r="E180" s="49" t="s">
        <v>2</v>
      </c>
      <c r="F180" s="50" t="s">
        <v>969</v>
      </c>
      <c r="G180" s="51" t="s">
        <v>3</v>
      </c>
      <c r="H180" s="52">
        <v>194.93</v>
      </c>
      <c r="I180" s="52">
        <v>162.44</v>
      </c>
      <c r="J180" s="52">
        <v>124.7552</v>
      </c>
      <c r="K180" s="52">
        <v>146.19749999999999</v>
      </c>
      <c r="L180" s="53">
        <v>194.93</v>
      </c>
      <c r="M180" s="53">
        <v>162.44</v>
      </c>
      <c r="N180" s="52" t="s">
        <v>4</v>
      </c>
      <c r="O180" s="54">
        <v>20</v>
      </c>
      <c r="P180" s="54">
        <v>20</v>
      </c>
      <c r="Q180" s="54">
        <v>200</v>
      </c>
      <c r="R180" s="46" t="s">
        <v>299</v>
      </c>
      <c r="S180" s="46" t="s">
        <v>687</v>
      </c>
      <c r="T180" s="55"/>
      <c r="U180" s="55"/>
      <c r="V180" s="51" t="s">
        <v>5</v>
      </c>
      <c r="W180" s="51" t="s">
        <v>8</v>
      </c>
      <c r="X180" s="51"/>
      <c r="Y180" s="56">
        <v>6.3600000000000004E-2</v>
      </c>
      <c r="Z180" s="57">
        <v>3.7790000000000002E-5</v>
      </c>
      <c r="AA180" s="52" t="s">
        <v>722</v>
      </c>
      <c r="AB180" s="52" t="s">
        <v>722</v>
      </c>
      <c r="AC180" s="56" t="s">
        <v>722</v>
      </c>
    </row>
    <row r="181" spans="1:29" ht="25.5" x14ac:dyDescent="0.25">
      <c r="A181" s="46" t="s">
        <v>694</v>
      </c>
      <c r="B181" s="47" t="s">
        <v>695</v>
      </c>
      <c r="C181" s="46" t="s">
        <v>694</v>
      </c>
      <c r="D181" s="48" t="s">
        <v>2</v>
      </c>
      <c r="E181" s="49" t="s">
        <v>2</v>
      </c>
      <c r="F181" s="50" t="s">
        <v>969</v>
      </c>
      <c r="G181" s="51" t="s">
        <v>3</v>
      </c>
      <c r="H181" s="52">
        <v>79.17</v>
      </c>
      <c r="I181" s="52">
        <v>65.98</v>
      </c>
      <c r="J181" s="52">
        <v>50.668800000000005</v>
      </c>
      <c r="K181" s="52">
        <v>59.377499999999998</v>
      </c>
      <c r="L181" s="53">
        <v>79.17</v>
      </c>
      <c r="M181" s="53">
        <v>65.98</v>
      </c>
      <c r="N181" s="52" t="s">
        <v>4</v>
      </c>
      <c r="O181" s="54">
        <v>20</v>
      </c>
      <c r="P181" s="54">
        <v>20</v>
      </c>
      <c r="Q181" s="54">
        <v>500</v>
      </c>
      <c r="R181" s="46" t="s">
        <v>299</v>
      </c>
      <c r="S181" s="46" t="s">
        <v>687</v>
      </c>
      <c r="T181" s="55"/>
      <c r="U181" s="55"/>
      <c r="V181" s="51" t="s">
        <v>5</v>
      </c>
      <c r="W181" s="51" t="s">
        <v>8</v>
      </c>
      <c r="X181" s="51"/>
      <c r="Y181" s="56">
        <v>8.0000000000000002E-3</v>
      </c>
      <c r="Z181" s="57">
        <v>1.6739999999999999E-5</v>
      </c>
      <c r="AA181" s="52" t="s">
        <v>722</v>
      </c>
      <c r="AB181" s="52" t="s">
        <v>722</v>
      </c>
      <c r="AC181" s="56" t="s">
        <v>722</v>
      </c>
    </row>
    <row r="182" spans="1:29" ht="25.5" x14ac:dyDescent="0.25">
      <c r="A182" s="46" t="s">
        <v>696</v>
      </c>
      <c r="B182" s="47" t="s">
        <v>697</v>
      </c>
      <c r="C182" s="46" t="s">
        <v>696</v>
      </c>
      <c r="D182" s="48" t="s">
        <v>2</v>
      </c>
      <c r="E182" s="49" t="s">
        <v>2</v>
      </c>
      <c r="F182" s="50" t="s">
        <v>969</v>
      </c>
      <c r="G182" s="51" t="s">
        <v>3</v>
      </c>
      <c r="H182" s="52">
        <v>77.260000000000005</v>
      </c>
      <c r="I182" s="52">
        <v>64.38</v>
      </c>
      <c r="J182" s="52">
        <v>49.446400000000004</v>
      </c>
      <c r="K182" s="52">
        <v>57.945000000000007</v>
      </c>
      <c r="L182" s="53">
        <v>77.260000000000005</v>
      </c>
      <c r="M182" s="53">
        <v>64.38</v>
      </c>
      <c r="N182" s="52" t="s">
        <v>4</v>
      </c>
      <c r="O182" s="54">
        <v>20</v>
      </c>
      <c r="P182" s="54">
        <v>20</v>
      </c>
      <c r="Q182" s="54">
        <v>500</v>
      </c>
      <c r="R182" s="46" t="s">
        <v>299</v>
      </c>
      <c r="S182" s="46" t="s">
        <v>687</v>
      </c>
      <c r="T182" s="55"/>
      <c r="U182" s="55"/>
      <c r="V182" s="51" t="s">
        <v>5</v>
      </c>
      <c r="W182" s="51" t="s">
        <v>8</v>
      </c>
      <c r="X182" s="51"/>
      <c r="Y182" s="56">
        <v>2.5399999999999999E-2</v>
      </c>
      <c r="Z182" s="57">
        <v>1.9069999999999999E-5</v>
      </c>
      <c r="AA182" s="52" t="s">
        <v>722</v>
      </c>
      <c r="AB182" s="52" t="s">
        <v>722</v>
      </c>
      <c r="AC182" s="56" t="s">
        <v>722</v>
      </c>
    </row>
    <row r="183" spans="1:29" ht="25.5" x14ac:dyDescent="0.25">
      <c r="A183" s="46" t="s">
        <v>698</v>
      </c>
      <c r="B183" s="47" t="s">
        <v>699</v>
      </c>
      <c r="C183" s="46" t="s">
        <v>698</v>
      </c>
      <c r="D183" s="48" t="s">
        <v>2</v>
      </c>
      <c r="E183" s="49" t="s">
        <v>2</v>
      </c>
      <c r="F183" s="50" t="s">
        <v>969</v>
      </c>
      <c r="G183" s="51" t="s">
        <v>3</v>
      </c>
      <c r="H183" s="52">
        <v>234.98</v>
      </c>
      <c r="I183" s="52">
        <v>195.82</v>
      </c>
      <c r="J183" s="52">
        <v>150.38720000000001</v>
      </c>
      <c r="K183" s="52">
        <v>176.23499999999999</v>
      </c>
      <c r="L183" s="53">
        <v>234.98</v>
      </c>
      <c r="M183" s="53">
        <v>195.82</v>
      </c>
      <c r="N183" s="52" t="s">
        <v>4</v>
      </c>
      <c r="O183" s="54">
        <v>10</v>
      </c>
      <c r="P183" s="54">
        <v>10</v>
      </c>
      <c r="Q183" s="54">
        <v>100</v>
      </c>
      <c r="R183" s="46" t="s">
        <v>299</v>
      </c>
      <c r="S183" s="46" t="s">
        <v>687</v>
      </c>
      <c r="T183" s="55"/>
      <c r="U183" s="55"/>
      <c r="V183" s="51" t="s">
        <v>5</v>
      </c>
      <c r="W183" s="51" t="s">
        <v>8</v>
      </c>
      <c r="X183" s="51"/>
      <c r="Y183" s="56">
        <v>9.5899999999999999E-2</v>
      </c>
      <c r="Z183" s="57">
        <v>5.4599999999999999E-5</v>
      </c>
      <c r="AA183" s="52" t="s">
        <v>722</v>
      </c>
      <c r="AB183" s="52" t="s">
        <v>722</v>
      </c>
      <c r="AC183" s="56" t="s">
        <v>722</v>
      </c>
    </row>
    <row r="184" spans="1:29" ht="25.5" x14ac:dyDescent="0.25">
      <c r="A184" s="46" t="s">
        <v>700</v>
      </c>
      <c r="B184" s="47" t="s">
        <v>701</v>
      </c>
      <c r="C184" s="46" t="s">
        <v>700</v>
      </c>
      <c r="D184" s="48" t="s">
        <v>2</v>
      </c>
      <c r="E184" s="49" t="s">
        <v>2</v>
      </c>
      <c r="F184" s="50" t="s">
        <v>969</v>
      </c>
      <c r="G184" s="51" t="s">
        <v>3</v>
      </c>
      <c r="H184" s="52">
        <v>222.17</v>
      </c>
      <c r="I184" s="52">
        <v>185.14</v>
      </c>
      <c r="J184" s="52">
        <v>142.18879999999999</v>
      </c>
      <c r="K184" s="52">
        <v>166.6275</v>
      </c>
      <c r="L184" s="53">
        <v>222.17</v>
      </c>
      <c r="M184" s="53">
        <v>185.14</v>
      </c>
      <c r="N184" s="52" t="s">
        <v>4</v>
      </c>
      <c r="O184" s="54">
        <v>10</v>
      </c>
      <c r="P184" s="54">
        <v>10</v>
      </c>
      <c r="Q184" s="54">
        <v>100</v>
      </c>
      <c r="R184" s="46" t="s">
        <v>299</v>
      </c>
      <c r="S184" s="46" t="s">
        <v>687</v>
      </c>
      <c r="T184" s="55"/>
      <c r="U184" s="55"/>
      <c r="V184" s="51" t="s">
        <v>5</v>
      </c>
      <c r="W184" s="51" t="s">
        <v>8</v>
      </c>
      <c r="X184" s="51"/>
      <c r="Y184" s="56">
        <v>0.1018</v>
      </c>
      <c r="Z184" s="57">
        <v>5.9849999999999998E-5</v>
      </c>
      <c r="AA184" s="52" t="s">
        <v>722</v>
      </c>
      <c r="AB184" s="52" t="s">
        <v>722</v>
      </c>
      <c r="AC184" s="56" t="s">
        <v>722</v>
      </c>
    </row>
    <row r="185" spans="1:29" ht="25.5" x14ac:dyDescent="0.25">
      <c r="A185" s="46" t="s">
        <v>702</v>
      </c>
      <c r="B185" s="47" t="s">
        <v>703</v>
      </c>
      <c r="C185" s="46" t="s">
        <v>702</v>
      </c>
      <c r="D185" s="48" t="s">
        <v>2</v>
      </c>
      <c r="E185" s="49" t="s">
        <v>2</v>
      </c>
      <c r="F185" s="50" t="s">
        <v>969</v>
      </c>
      <c r="G185" s="51" t="s">
        <v>3</v>
      </c>
      <c r="H185" s="52">
        <v>258.08</v>
      </c>
      <c r="I185" s="52">
        <v>215.07</v>
      </c>
      <c r="J185" s="52">
        <v>165.1712</v>
      </c>
      <c r="K185" s="52">
        <v>193.56</v>
      </c>
      <c r="L185" s="53">
        <v>258.08</v>
      </c>
      <c r="M185" s="53">
        <v>215.07</v>
      </c>
      <c r="N185" s="52" t="s">
        <v>4</v>
      </c>
      <c r="O185" s="54">
        <v>10</v>
      </c>
      <c r="P185" s="54">
        <v>10</v>
      </c>
      <c r="Q185" s="54">
        <v>100</v>
      </c>
      <c r="R185" s="46" t="s">
        <v>299</v>
      </c>
      <c r="S185" s="46" t="s">
        <v>687</v>
      </c>
      <c r="T185" s="55"/>
      <c r="U185" s="55"/>
      <c r="V185" s="51" t="s">
        <v>5</v>
      </c>
      <c r="W185" s="51" t="s">
        <v>8</v>
      </c>
      <c r="X185" s="51"/>
      <c r="Y185" s="56">
        <v>0.1145</v>
      </c>
      <c r="Z185" s="57">
        <v>7.5519999999999995E-5</v>
      </c>
      <c r="AA185" s="52" t="s">
        <v>722</v>
      </c>
      <c r="AB185" s="52" t="s">
        <v>722</v>
      </c>
      <c r="AC185" s="56" t="s">
        <v>722</v>
      </c>
    </row>
    <row r="186" spans="1:29" ht="25.5" x14ac:dyDescent="0.25">
      <c r="A186" s="46" t="s">
        <v>704</v>
      </c>
      <c r="B186" s="47" t="s">
        <v>705</v>
      </c>
      <c r="C186" s="46" t="s">
        <v>704</v>
      </c>
      <c r="D186" s="48" t="s">
        <v>2</v>
      </c>
      <c r="E186" s="49" t="s">
        <v>2</v>
      </c>
      <c r="F186" s="50" t="s">
        <v>969</v>
      </c>
      <c r="G186" s="51" t="s">
        <v>3</v>
      </c>
      <c r="H186" s="52">
        <v>304.88</v>
      </c>
      <c r="I186" s="52">
        <v>254.07</v>
      </c>
      <c r="J186" s="52">
        <v>195.1232</v>
      </c>
      <c r="K186" s="52">
        <v>228.66</v>
      </c>
      <c r="L186" s="53">
        <v>304.88</v>
      </c>
      <c r="M186" s="53">
        <v>254.07</v>
      </c>
      <c r="N186" s="52" t="s">
        <v>4</v>
      </c>
      <c r="O186" s="54">
        <v>10</v>
      </c>
      <c r="P186" s="54">
        <v>10</v>
      </c>
      <c r="Q186" s="54">
        <v>100</v>
      </c>
      <c r="R186" s="46" t="s">
        <v>299</v>
      </c>
      <c r="S186" s="46" t="s">
        <v>687</v>
      </c>
      <c r="T186" s="55"/>
      <c r="U186" s="55"/>
      <c r="V186" s="51" t="s">
        <v>5</v>
      </c>
      <c r="W186" s="51" t="s">
        <v>8</v>
      </c>
      <c r="X186" s="51"/>
      <c r="Y186" s="56">
        <v>0.1188</v>
      </c>
      <c r="Z186" s="57">
        <v>8.2029999999999999E-5</v>
      </c>
      <c r="AA186" s="52" t="s">
        <v>722</v>
      </c>
      <c r="AB186" s="52" t="s">
        <v>722</v>
      </c>
      <c r="AC186" s="56" t="s">
        <v>722</v>
      </c>
    </row>
    <row r="187" spans="1:29" s="58" customFormat="1" x14ac:dyDescent="0.25">
      <c r="A187" s="450" t="s">
        <v>885</v>
      </c>
      <c r="B187" s="450"/>
      <c r="C187" s="450"/>
      <c r="D187" s="450"/>
      <c r="E187" s="450"/>
      <c r="F187" s="450"/>
      <c r="G187" s="450"/>
      <c r="H187" s="450"/>
      <c r="I187" s="450"/>
      <c r="J187" s="450"/>
      <c r="K187" s="450"/>
      <c r="L187" s="450"/>
      <c r="M187" s="450"/>
      <c r="N187" s="450"/>
      <c r="O187" s="450"/>
      <c r="P187" s="450"/>
      <c r="Q187" s="450"/>
      <c r="R187" s="450"/>
      <c r="S187" s="450"/>
      <c r="T187" s="450"/>
      <c r="U187" s="450"/>
      <c r="V187" s="450"/>
      <c r="W187" s="450"/>
      <c r="X187" s="450"/>
      <c r="Y187" s="450"/>
      <c r="Z187" s="450"/>
      <c r="AA187" s="450"/>
      <c r="AB187" s="450"/>
      <c r="AC187" s="450"/>
    </row>
    <row r="188" spans="1:29" s="45" customFormat="1" ht="24.75" customHeight="1" x14ac:dyDescent="0.25">
      <c r="A188" s="33" t="s">
        <v>302</v>
      </c>
      <c r="B188" s="34" t="s">
        <v>303</v>
      </c>
      <c r="C188" s="33" t="s">
        <v>302</v>
      </c>
      <c r="D188" s="35" t="s">
        <v>2</v>
      </c>
      <c r="E188" s="36" t="s">
        <v>2</v>
      </c>
      <c r="F188" s="37" t="s">
        <v>968</v>
      </c>
      <c r="G188" s="38" t="s">
        <v>3</v>
      </c>
      <c r="H188" s="39">
        <v>526.47</v>
      </c>
      <c r="I188" s="39">
        <v>438.73</v>
      </c>
      <c r="J188" s="39">
        <f t="shared" ref="J188:J198" si="25">H188-(36 *H188/100)</f>
        <v>336.94079999999997</v>
      </c>
      <c r="K188" s="39">
        <f t="shared" ref="K188:K198" si="26">H188-(25 *H188/100)</f>
        <v>394.85250000000002</v>
      </c>
      <c r="L188" s="40" t="e">
        <f>IF(H188="","",H188*(1-#REF!))</f>
        <v>#REF!</v>
      </c>
      <c r="M188" s="40" t="e">
        <f>IF(I188="","",I188*(1-#REF!))</f>
        <v>#REF!</v>
      </c>
      <c r="N188" s="39" t="s">
        <v>4</v>
      </c>
      <c r="O188" s="41">
        <v>20</v>
      </c>
      <c r="P188" s="41">
        <v>20</v>
      </c>
      <c r="Q188" s="41">
        <v>50</v>
      </c>
      <c r="R188" s="33" t="s">
        <v>299</v>
      </c>
      <c r="S188" s="33" t="s">
        <v>300</v>
      </c>
      <c r="T188" s="42" t="s">
        <v>301</v>
      </c>
      <c r="U188" s="42"/>
      <c r="V188" s="38" t="s">
        <v>5</v>
      </c>
      <c r="W188" s="38" t="s">
        <v>8</v>
      </c>
      <c r="X188" s="38"/>
      <c r="Y188" s="43">
        <v>0.44</v>
      </c>
      <c r="Z188" s="44">
        <v>5.8799999999999998E-4</v>
      </c>
      <c r="AA188" s="39" t="e">
        <f>IF(OR(F188="",L188=""),"",F188*L188)</f>
        <v>#REF!</v>
      </c>
      <c r="AB188" s="39" t="e">
        <f>IF(OR(F188="",Y188=""),"",Y188*F188)</f>
        <v>#VALUE!</v>
      </c>
      <c r="AC188" s="43" t="e">
        <f>IF(OR(F188="",Z188=""),"",F188*Z188)</f>
        <v>#VALUE!</v>
      </c>
    </row>
    <row r="189" spans="1:29" s="45" customFormat="1" ht="24.75" customHeight="1" x14ac:dyDescent="0.25">
      <c r="A189" s="33" t="s">
        <v>304</v>
      </c>
      <c r="B189" s="34" t="s">
        <v>305</v>
      </c>
      <c r="C189" s="33" t="s">
        <v>304</v>
      </c>
      <c r="D189" s="35" t="s">
        <v>2</v>
      </c>
      <c r="E189" s="36" t="s">
        <v>2</v>
      </c>
      <c r="F189" s="37" t="s">
        <v>968</v>
      </c>
      <c r="G189" s="38" t="s">
        <v>3</v>
      </c>
      <c r="H189" s="39">
        <v>34.14</v>
      </c>
      <c r="I189" s="39">
        <v>28.45</v>
      </c>
      <c r="J189" s="39">
        <f>H189-(36 *H189/100)</f>
        <v>21.849600000000002</v>
      </c>
      <c r="K189" s="39">
        <f>H189-(25 *H189/100)</f>
        <v>25.605</v>
      </c>
      <c r="L189" s="40" t="e">
        <f>IF(H189="","",H189*(1-#REF!))</f>
        <v>#REF!</v>
      </c>
      <c r="M189" s="40" t="e">
        <f>IF(I189="","",I189*(1-#REF!))</f>
        <v>#REF!</v>
      </c>
      <c r="N189" s="39" t="s">
        <v>4</v>
      </c>
      <c r="O189" s="41">
        <v>100</v>
      </c>
      <c r="P189" s="41">
        <v>100</v>
      </c>
      <c r="Q189" s="41">
        <v>1000</v>
      </c>
      <c r="R189" s="33" t="s">
        <v>299</v>
      </c>
      <c r="S189" s="33" t="s">
        <v>300</v>
      </c>
      <c r="T189" s="42" t="s">
        <v>306</v>
      </c>
      <c r="U189" s="42" t="s">
        <v>307</v>
      </c>
      <c r="V189" s="38" t="s">
        <v>5</v>
      </c>
      <c r="W189" s="38" t="s">
        <v>8</v>
      </c>
      <c r="X189" s="38"/>
      <c r="Y189" s="43">
        <v>1.4999999999999999E-2</v>
      </c>
      <c r="Z189" s="44">
        <v>1.5E-5</v>
      </c>
      <c r="AA189" s="39" t="e">
        <f>IF(OR(F189="",L189=""),"",F189*L189)</f>
        <v>#REF!</v>
      </c>
      <c r="AB189" s="39" t="e">
        <f>IF(OR(F189="",Y189=""),"",Y189*F189)</f>
        <v>#VALUE!</v>
      </c>
      <c r="AC189" s="43" t="e">
        <f>IF(OR(F189="",Z189=""),"",F189*Z189)</f>
        <v>#VALUE!</v>
      </c>
    </row>
    <row r="190" spans="1:29" s="45" customFormat="1" ht="24.75" customHeight="1" x14ac:dyDescent="0.25">
      <c r="A190" s="33" t="s">
        <v>308</v>
      </c>
      <c r="B190" s="34" t="s">
        <v>309</v>
      </c>
      <c r="C190" s="33" t="s">
        <v>308</v>
      </c>
      <c r="D190" s="35" t="s">
        <v>2</v>
      </c>
      <c r="E190" s="36" t="s">
        <v>2</v>
      </c>
      <c r="F190" s="37" t="s">
        <v>968</v>
      </c>
      <c r="G190" s="38" t="s">
        <v>3</v>
      </c>
      <c r="H190" s="39">
        <v>26.85</v>
      </c>
      <c r="I190" s="39">
        <v>22.38</v>
      </c>
      <c r="J190" s="39">
        <f>H190-(36 *H190/100)</f>
        <v>17.184000000000001</v>
      </c>
      <c r="K190" s="39">
        <f>H190-(25 *H190/100)</f>
        <v>20.137500000000003</v>
      </c>
      <c r="L190" s="40" t="e">
        <f>IF(H190="","",H190*(1-#REF!))</f>
        <v>#REF!</v>
      </c>
      <c r="M190" s="40" t="e">
        <f>IF(I190="","",I190*(1-#REF!))</f>
        <v>#REF!</v>
      </c>
      <c r="N190" s="39" t="s">
        <v>4</v>
      </c>
      <c r="O190" s="41">
        <v>100</v>
      </c>
      <c r="P190" s="41">
        <v>100</v>
      </c>
      <c r="Q190" s="41">
        <v>1000</v>
      </c>
      <c r="R190" s="33" t="s">
        <v>299</v>
      </c>
      <c r="S190" s="33" t="s">
        <v>300</v>
      </c>
      <c r="T190" s="42" t="s">
        <v>306</v>
      </c>
      <c r="U190" s="42" t="s">
        <v>307</v>
      </c>
      <c r="V190" s="38" t="s">
        <v>5</v>
      </c>
      <c r="W190" s="38" t="s">
        <v>8</v>
      </c>
      <c r="X190" s="38"/>
      <c r="Y190" s="43">
        <v>1.2E-2</v>
      </c>
      <c r="Z190" s="44">
        <v>1.5E-5</v>
      </c>
      <c r="AA190" s="39" t="e">
        <f>IF(OR(F190="",L190=""),"",F190*L190)</f>
        <v>#REF!</v>
      </c>
      <c r="AB190" s="39" t="e">
        <f>IF(OR(F190="",Y190=""),"",Y190*F190)</f>
        <v>#VALUE!</v>
      </c>
      <c r="AC190" s="43" t="e">
        <f>IF(OR(F190="",Z190=""),"",F190*Z190)</f>
        <v>#VALUE!</v>
      </c>
    </row>
    <row r="191" spans="1:29" s="45" customFormat="1" ht="24.75" customHeight="1" x14ac:dyDescent="0.25">
      <c r="A191" s="33" t="s">
        <v>310</v>
      </c>
      <c r="B191" s="34" t="s">
        <v>311</v>
      </c>
      <c r="C191" s="33" t="s">
        <v>310</v>
      </c>
      <c r="D191" s="35" t="s">
        <v>2</v>
      </c>
      <c r="E191" s="36" t="s">
        <v>2</v>
      </c>
      <c r="F191" s="37" t="s">
        <v>968</v>
      </c>
      <c r="G191" s="38" t="s">
        <v>3</v>
      </c>
      <c r="H191" s="39">
        <v>17.91</v>
      </c>
      <c r="I191" s="39">
        <v>14.93</v>
      </c>
      <c r="J191" s="39">
        <f>H191-(36 *H191/100)</f>
        <v>11.462400000000001</v>
      </c>
      <c r="K191" s="39">
        <f>H191-(25 *H191/100)</f>
        <v>13.432500000000001</v>
      </c>
      <c r="L191" s="40" t="e">
        <f>IF(H191="","",H191*(1-#REF!))</f>
        <v>#REF!</v>
      </c>
      <c r="M191" s="40" t="e">
        <f>IF(I191="","",I191*(1-#REF!))</f>
        <v>#REF!</v>
      </c>
      <c r="N191" s="39" t="s">
        <v>4</v>
      </c>
      <c r="O191" s="41">
        <v>100</v>
      </c>
      <c r="P191" s="41">
        <v>100</v>
      </c>
      <c r="Q191" s="41">
        <v>1000</v>
      </c>
      <c r="R191" s="33" t="s">
        <v>299</v>
      </c>
      <c r="S191" s="33" t="s">
        <v>300</v>
      </c>
      <c r="T191" s="42" t="s">
        <v>306</v>
      </c>
      <c r="U191" s="42" t="s">
        <v>307</v>
      </c>
      <c r="V191" s="38" t="s">
        <v>5</v>
      </c>
      <c r="W191" s="38" t="s">
        <v>8</v>
      </c>
      <c r="X191" s="38"/>
      <c r="Y191" s="43">
        <v>6.0000000000000001E-3</v>
      </c>
      <c r="Z191" s="44">
        <v>6.9999999999999999E-6</v>
      </c>
      <c r="AA191" s="39" t="e">
        <f>IF(OR(F191="",L191=""),"",F191*L191)</f>
        <v>#REF!</v>
      </c>
      <c r="AB191" s="39" t="e">
        <f>IF(OR(F191="",Y191=""),"",Y191*F191)</f>
        <v>#VALUE!</v>
      </c>
      <c r="AC191" s="43" t="e">
        <f>IF(OR(F191="",Z191=""),"",F191*Z191)</f>
        <v>#VALUE!</v>
      </c>
    </row>
    <row r="192" spans="1:29" s="45" customFormat="1" ht="24.75" customHeight="1" x14ac:dyDescent="0.25">
      <c r="A192" s="33" t="s">
        <v>709</v>
      </c>
      <c r="B192" s="34" t="s">
        <v>710</v>
      </c>
      <c r="C192" s="33" t="s">
        <v>709</v>
      </c>
      <c r="D192" s="35" t="s">
        <v>2</v>
      </c>
      <c r="E192" s="36" t="s">
        <v>2</v>
      </c>
      <c r="F192" s="37" t="s">
        <v>965</v>
      </c>
      <c r="G192" s="38" t="s">
        <v>3</v>
      </c>
      <c r="H192" s="39">
        <v>137.41999999999999</v>
      </c>
      <c r="I192" s="39">
        <v>114.52</v>
      </c>
      <c r="J192" s="39">
        <v>87.948799999999991</v>
      </c>
      <c r="K192" s="39">
        <v>103.065</v>
      </c>
      <c r="L192" s="40">
        <v>137.41999999999999</v>
      </c>
      <c r="M192" s="40">
        <v>114.52</v>
      </c>
      <c r="N192" s="39" t="s">
        <v>4</v>
      </c>
      <c r="O192" s="41">
        <v>50</v>
      </c>
      <c r="P192" s="41">
        <v>50</v>
      </c>
      <c r="Q192" s="41">
        <v>1000</v>
      </c>
      <c r="R192" s="33" t="s">
        <v>299</v>
      </c>
      <c r="S192" s="33" t="s">
        <v>706</v>
      </c>
      <c r="T192" s="42"/>
      <c r="U192" s="42"/>
      <c r="V192" s="38" t="s">
        <v>5</v>
      </c>
      <c r="W192" s="38" t="s">
        <v>10</v>
      </c>
      <c r="X192" s="38"/>
      <c r="Y192" s="43">
        <v>1.2999999999999999E-2</v>
      </c>
      <c r="Z192" s="44">
        <v>1.3329999999999999E-5</v>
      </c>
      <c r="AA192" s="39" t="s">
        <v>722</v>
      </c>
      <c r="AB192" s="39" t="s">
        <v>722</v>
      </c>
      <c r="AC192" s="43" t="s">
        <v>722</v>
      </c>
    </row>
    <row r="193" spans="1:29" s="45" customFormat="1" ht="24.75" customHeight="1" x14ac:dyDescent="0.25">
      <c r="A193" s="33" t="s">
        <v>312</v>
      </c>
      <c r="B193" s="34" t="s">
        <v>313</v>
      </c>
      <c r="C193" s="33" t="s">
        <v>312</v>
      </c>
      <c r="D193" s="35" t="s">
        <v>2</v>
      </c>
      <c r="E193" s="36" t="s">
        <v>2</v>
      </c>
      <c r="F193" s="37" t="s">
        <v>968</v>
      </c>
      <c r="G193" s="38" t="s">
        <v>3</v>
      </c>
      <c r="H193" s="39">
        <v>91.51</v>
      </c>
      <c r="I193" s="39">
        <v>76.260000000000005</v>
      </c>
      <c r="J193" s="39">
        <f t="shared" si="25"/>
        <v>58.566400000000002</v>
      </c>
      <c r="K193" s="39">
        <f t="shared" si="26"/>
        <v>68.632500000000007</v>
      </c>
      <c r="L193" s="40" t="e">
        <f>IF(H193="","",H193*(1-#REF!))</f>
        <v>#REF!</v>
      </c>
      <c r="M193" s="40" t="e">
        <f>IF(I193="","",I193*(1-#REF!))</f>
        <v>#REF!</v>
      </c>
      <c r="N193" s="39" t="s">
        <v>4</v>
      </c>
      <c r="O193" s="41">
        <v>10</v>
      </c>
      <c r="P193" s="41">
        <v>10</v>
      </c>
      <c r="Q193" s="41">
        <v>100</v>
      </c>
      <c r="R193" s="33" t="s">
        <v>299</v>
      </c>
      <c r="S193" s="33" t="s">
        <v>300</v>
      </c>
      <c r="T193" s="42" t="s">
        <v>306</v>
      </c>
      <c r="U193" s="42" t="s">
        <v>314</v>
      </c>
      <c r="V193" s="38" t="s">
        <v>5</v>
      </c>
      <c r="W193" s="38" t="s">
        <v>8</v>
      </c>
      <c r="X193" s="38"/>
      <c r="Y193" s="43">
        <v>0.04</v>
      </c>
      <c r="Z193" s="44">
        <v>3.1999999999999999E-5</v>
      </c>
      <c r="AA193" s="39" t="e">
        <f t="shared" ref="AA193:AA198" si="27">IF(OR(F193="",L193=""),"",F193*L193)</f>
        <v>#REF!</v>
      </c>
      <c r="AB193" s="39" t="e">
        <f t="shared" ref="AB193:AB198" si="28">IF(OR(F193="",Y193=""),"",Y193*F193)</f>
        <v>#VALUE!</v>
      </c>
      <c r="AC193" s="43" t="e">
        <f t="shared" ref="AC193:AC198" si="29">IF(OR(F193="",Z193=""),"",F193*Z193)</f>
        <v>#VALUE!</v>
      </c>
    </row>
    <row r="194" spans="1:29" s="45" customFormat="1" ht="24.75" customHeight="1" x14ac:dyDescent="0.25">
      <c r="A194" s="33" t="s">
        <v>315</v>
      </c>
      <c r="B194" s="34" t="s">
        <v>316</v>
      </c>
      <c r="C194" s="33" t="s">
        <v>315</v>
      </c>
      <c r="D194" s="35" t="s">
        <v>2</v>
      </c>
      <c r="E194" s="36" t="s">
        <v>2</v>
      </c>
      <c r="F194" s="37" t="s">
        <v>968</v>
      </c>
      <c r="G194" s="38" t="s">
        <v>3</v>
      </c>
      <c r="H194" s="39">
        <v>100.94</v>
      </c>
      <c r="I194" s="39">
        <v>84.12</v>
      </c>
      <c r="J194" s="39">
        <f t="shared" si="25"/>
        <v>64.601599999999991</v>
      </c>
      <c r="K194" s="39">
        <f t="shared" si="26"/>
        <v>75.704999999999998</v>
      </c>
      <c r="L194" s="40" t="e">
        <f>IF(H194="","",H194*(1-#REF!))</f>
        <v>#REF!</v>
      </c>
      <c r="M194" s="40" t="e">
        <f>IF(I194="","",I194*(1-#REF!))</f>
        <v>#REF!</v>
      </c>
      <c r="N194" s="39" t="s">
        <v>4</v>
      </c>
      <c r="O194" s="41">
        <v>10</v>
      </c>
      <c r="P194" s="41">
        <v>10</v>
      </c>
      <c r="Q194" s="41">
        <v>100</v>
      </c>
      <c r="R194" s="33" t="s">
        <v>299</v>
      </c>
      <c r="S194" s="33" t="s">
        <v>300</v>
      </c>
      <c r="T194" s="42" t="s">
        <v>306</v>
      </c>
      <c r="U194" s="42" t="s">
        <v>314</v>
      </c>
      <c r="V194" s="38" t="s">
        <v>5</v>
      </c>
      <c r="W194" s="38" t="s">
        <v>8</v>
      </c>
      <c r="X194" s="38"/>
      <c r="Y194" s="43">
        <v>4.4999999999999998E-2</v>
      </c>
      <c r="Z194" s="44">
        <v>4.8000000000000001E-5</v>
      </c>
      <c r="AA194" s="39" t="e">
        <f t="shared" si="27"/>
        <v>#REF!</v>
      </c>
      <c r="AB194" s="39" t="e">
        <f t="shared" si="28"/>
        <v>#VALUE!</v>
      </c>
      <c r="AC194" s="43" t="e">
        <f t="shared" si="29"/>
        <v>#VALUE!</v>
      </c>
    </row>
    <row r="195" spans="1:29" s="45" customFormat="1" ht="24.75" customHeight="1" x14ac:dyDescent="0.25">
      <c r="A195" s="33" t="s">
        <v>317</v>
      </c>
      <c r="B195" s="34" t="s">
        <v>318</v>
      </c>
      <c r="C195" s="33" t="s">
        <v>317</v>
      </c>
      <c r="D195" s="35" t="s">
        <v>2</v>
      </c>
      <c r="E195" s="36" t="s">
        <v>2</v>
      </c>
      <c r="F195" s="37" t="s">
        <v>968</v>
      </c>
      <c r="G195" s="38" t="s">
        <v>3</v>
      </c>
      <c r="H195" s="39">
        <v>113.05</v>
      </c>
      <c r="I195" s="39">
        <v>94.21</v>
      </c>
      <c r="J195" s="39">
        <f t="shared" si="25"/>
        <v>72.352000000000004</v>
      </c>
      <c r="K195" s="39">
        <f t="shared" si="26"/>
        <v>84.787499999999994</v>
      </c>
      <c r="L195" s="40" t="e">
        <f>IF(H195="","",H195*(1-#REF!))</f>
        <v>#REF!</v>
      </c>
      <c r="M195" s="40" t="e">
        <f>IF(I195="","",I195*(1-#REF!))</f>
        <v>#REF!</v>
      </c>
      <c r="N195" s="39" t="s">
        <v>4</v>
      </c>
      <c r="O195" s="41">
        <v>10</v>
      </c>
      <c r="P195" s="41">
        <v>10</v>
      </c>
      <c r="Q195" s="41">
        <v>100</v>
      </c>
      <c r="R195" s="33" t="s">
        <v>299</v>
      </c>
      <c r="S195" s="33" t="s">
        <v>300</v>
      </c>
      <c r="T195" s="42" t="s">
        <v>306</v>
      </c>
      <c r="U195" s="42" t="s">
        <v>314</v>
      </c>
      <c r="V195" s="38" t="s">
        <v>5</v>
      </c>
      <c r="W195" s="38" t="s">
        <v>8</v>
      </c>
      <c r="X195" s="38"/>
      <c r="Y195" s="43">
        <v>6.7500000000000004E-2</v>
      </c>
      <c r="Z195" s="44">
        <v>8.0000000000000007E-5</v>
      </c>
      <c r="AA195" s="39" t="e">
        <f t="shared" si="27"/>
        <v>#REF!</v>
      </c>
      <c r="AB195" s="39" t="e">
        <f t="shared" si="28"/>
        <v>#VALUE!</v>
      </c>
      <c r="AC195" s="43" t="e">
        <f t="shared" si="29"/>
        <v>#VALUE!</v>
      </c>
    </row>
    <row r="196" spans="1:29" s="45" customFormat="1" ht="24.75" customHeight="1" x14ac:dyDescent="0.25">
      <c r="A196" s="33" t="s">
        <v>319</v>
      </c>
      <c r="B196" s="34" t="s">
        <v>320</v>
      </c>
      <c r="C196" s="33" t="s">
        <v>319</v>
      </c>
      <c r="D196" s="35" t="s">
        <v>2</v>
      </c>
      <c r="E196" s="36" t="s">
        <v>2</v>
      </c>
      <c r="F196" s="37" t="s">
        <v>968</v>
      </c>
      <c r="G196" s="38" t="s">
        <v>3</v>
      </c>
      <c r="H196" s="39">
        <v>117.44</v>
      </c>
      <c r="I196" s="39">
        <v>97.87</v>
      </c>
      <c r="J196" s="39">
        <f t="shared" si="25"/>
        <v>75.161599999999993</v>
      </c>
      <c r="K196" s="39">
        <f t="shared" si="26"/>
        <v>88.08</v>
      </c>
      <c r="L196" s="40" t="e">
        <f>IF(H196="","",H196*(1-#REF!))</f>
        <v>#REF!</v>
      </c>
      <c r="M196" s="40" t="e">
        <f>IF(I196="","",I196*(1-#REF!))</f>
        <v>#REF!</v>
      </c>
      <c r="N196" s="39" t="s">
        <v>4</v>
      </c>
      <c r="O196" s="41">
        <v>10</v>
      </c>
      <c r="P196" s="41">
        <v>10</v>
      </c>
      <c r="Q196" s="41">
        <v>100</v>
      </c>
      <c r="R196" s="33" t="s">
        <v>299</v>
      </c>
      <c r="S196" s="33" t="s">
        <v>300</v>
      </c>
      <c r="T196" s="42" t="s">
        <v>306</v>
      </c>
      <c r="U196" s="42" t="s">
        <v>314</v>
      </c>
      <c r="V196" s="38" t="s">
        <v>5</v>
      </c>
      <c r="W196" s="38" t="s">
        <v>8</v>
      </c>
      <c r="X196" s="38"/>
      <c r="Y196" s="43">
        <v>4.4999999999999998E-2</v>
      </c>
      <c r="Z196" s="44">
        <v>6.8999999999999997E-5</v>
      </c>
      <c r="AA196" s="39" t="e">
        <f t="shared" si="27"/>
        <v>#REF!</v>
      </c>
      <c r="AB196" s="39" t="e">
        <f t="shared" si="28"/>
        <v>#VALUE!</v>
      </c>
      <c r="AC196" s="43" t="e">
        <f t="shared" si="29"/>
        <v>#VALUE!</v>
      </c>
    </row>
    <row r="197" spans="1:29" s="45" customFormat="1" ht="24.75" customHeight="1" x14ac:dyDescent="0.25">
      <c r="A197" s="33" t="s">
        <v>322</v>
      </c>
      <c r="B197" s="34" t="s">
        <v>323</v>
      </c>
      <c r="C197" s="33" t="s">
        <v>322</v>
      </c>
      <c r="D197" s="35" t="s">
        <v>2</v>
      </c>
      <c r="E197" s="36" t="s">
        <v>2</v>
      </c>
      <c r="F197" s="37" t="s">
        <v>968</v>
      </c>
      <c r="G197" s="38" t="s">
        <v>3</v>
      </c>
      <c r="H197" s="39">
        <v>1628.37</v>
      </c>
      <c r="I197" s="39">
        <v>1356.98</v>
      </c>
      <c r="J197" s="39">
        <f t="shared" si="25"/>
        <v>1042.1568</v>
      </c>
      <c r="K197" s="39">
        <f t="shared" si="26"/>
        <v>1221.2774999999999</v>
      </c>
      <c r="L197" s="40" t="e">
        <f>IF(H197="","",H197*(1-#REF!))</f>
        <v>#REF!</v>
      </c>
      <c r="M197" s="40" t="e">
        <f>IF(I197="","",I197*(1-#REF!))</f>
        <v>#REF!</v>
      </c>
      <c r="N197" s="39" t="s">
        <v>4</v>
      </c>
      <c r="O197" s="41">
        <v>10</v>
      </c>
      <c r="P197" s="41">
        <v>10</v>
      </c>
      <c r="Q197" s="41">
        <v>10</v>
      </c>
      <c r="R197" s="33" t="s">
        <v>299</v>
      </c>
      <c r="S197" s="33" t="s">
        <v>300</v>
      </c>
      <c r="T197" s="42" t="s">
        <v>321</v>
      </c>
      <c r="U197" s="42"/>
      <c r="V197" s="38" t="s">
        <v>5</v>
      </c>
      <c r="W197" s="38" t="s">
        <v>8</v>
      </c>
      <c r="X197" s="38"/>
      <c r="Y197" s="43">
        <v>1.1499999999999999</v>
      </c>
      <c r="Z197" s="44">
        <v>1.0499999999999999E-3</v>
      </c>
      <c r="AA197" s="39" t="e">
        <f t="shared" si="27"/>
        <v>#REF!</v>
      </c>
      <c r="AB197" s="39" t="e">
        <f t="shared" si="28"/>
        <v>#VALUE!</v>
      </c>
      <c r="AC197" s="43" t="e">
        <f t="shared" si="29"/>
        <v>#VALUE!</v>
      </c>
    </row>
    <row r="198" spans="1:29" s="45" customFormat="1" ht="24.75" customHeight="1" x14ac:dyDescent="0.25">
      <c r="A198" s="33" t="s">
        <v>325</v>
      </c>
      <c r="B198" s="34" t="s">
        <v>326</v>
      </c>
      <c r="C198" s="33" t="s">
        <v>325</v>
      </c>
      <c r="D198" s="35" t="s">
        <v>2</v>
      </c>
      <c r="E198" s="36" t="s">
        <v>2</v>
      </c>
      <c r="F198" s="37" t="s">
        <v>968</v>
      </c>
      <c r="G198" s="38" t="s">
        <v>3</v>
      </c>
      <c r="H198" s="39">
        <v>622.69000000000005</v>
      </c>
      <c r="I198" s="39">
        <v>518.91</v>
      </c>
      <c r="J198" s="39">
        <f t="shared" si="25"/>
        <v>398.52160000000003</v>
      </c>
      <c r="K198" s="39">
        <f t="shared" si="26"/>
        <v>467.01750000000004</v>
      </c>
      <c r="L198" s="40" t="e">
        <f>IF(H198="","",H198*(1-#REF!))</f>
        <v>#REF!</v>
      </c>
      <c r="M198" s="40" t="e">
        <f>IF(I198="","",I198*(1-#REF!))</f>
        <v>#REF!</v>
      </c>
      <c r="N198" s="39" t="s">
        <v>4</v>
      </c>
      <c r="O198" s="41">
        <v>20</v>
      </c>
      <c r="P198" s="41">
        <v>20</v>
      </c>
      <c r="Q198" s="41">
        <v>100</v>
      </c>
      <c r="R198" s="33" t="s">
        <v>299</v>
      </c>
      <c r="S198" s="33" t="s">
        <v>300</v>
      </c>
      <c r="T198" s="42" t="s">
        <v>324</v>
      </c>
      <c r="U198" s="42"/>
      <c r="V198" s="38" t="s">
        <v>5</v>
      </c>
      <c r="W198" s="38" t="s">
        <v>8</v>
      </c>
      <c r="X198" s="38"/>
      <c r="Y198" s="43">
        <v>0.315</v>
      </c>
      <c r="Z198" s="44">
        <v>5.2499999999999997E-4</v>
      </c>
      <c r="AA198" s="39" t="e">
        <f t="shared" si="27"/>
        <v>#REF!</v>
      </c>
      <c r="AB198" s="39" t="e">
        <f t="shared" si="28"/>
        <v>#VALUE!</v>
      </c>
      <c r="AC198" s="43" t="e">
        <f t="shared" si="29"/>
        <v>#VALUE!</v>
      </c>
    </row>
    <row r="200" spans="1:29" x14ac:dyDescent="0.25">
      <c r="A200" s="453" t="s">
        <v>886</v>
      </c>
      <c r="B200" s="453"/>
      <c r="C200" s="453"/>
      <c r="D200" s="453"/>
      <c r="E200" s="453"/>
      <c r="F200" s="453"/>
      <c r="G200" s="453"/>
      <c r="H200" s="453"/>
      <c r="I200" s="453"/>
      <c r="J200" s="453"/>
      <c r="K200" s="453"/>
      <c r="L200" s="453"/>
      <c r="M200" s="453"/>
      <c r="N200" s="453"/>
      <c r="O200" s="453"/>
      <c r="P200" s="453"/>
      <c r="Q200" s="453"/>
      <c r="R200" s="453"/>
      <c r="S200" s="453"/>
      <c r="T200" s="453"/>
      <c r="U200" s="453"/>
      <c r="V200" s="453"/>
      <c r="W200" s="453"/>
      <c r="X200" s="453"/>
      <c r="Y200" s="453"/>
      <c r="Z200" s="453"/>
      <c r="AA200" s="453"/>
      <c r="AB200" s="453"/>
      <c r="AC200" s="453"/>
    </row>
    <row r="201" spans="1:29" x14ac:dyDescent="0.25">
      <c r="A201" s="46" t="s">
        <v>604</v>
      </c>
      <c r="B201" s="47" t="s">
        <v>605</v>
      </c>
      <c r="C201" s="46" t="s">
        <v>604</v>
      </c>
      <c r="D201" s="48" t="s">
        <v>2</v>
      </c>
      <c r="E201" s="49" t="s">
        <v>2</v>
      </c>
      <c r="F201" s="50" t="s">
        <v>970</v>
      </c>
      <c r="G201" s="51" t="s">
        <v>3</v>
      </c>
      <c r="H201" s="52">
        <v>6187.31</v>
      </c>
      <c r="I201" s="52">
        <v>5156.09</v>
      </c>
      <c r="J201" s="52">
        <v>3959.8784000000005</v>
      </c>
      <c r="K201" s="52">
        <v>4640.4825000000001</v>
      </c>
      <c r="L201" s="53">
        <v>6187.31</v>
      </c>
      <c r="M201" s="53">
        <v>5156.09</v>
      </c>
      <c r="N201" s="52" t="s">
        <v>4</v>
      </c>
      <c r="O201" s="54">
        <v>1</v>
      </c>
      <c r="P201" s="54">
        <v>1</v>
      </c>
      <c r="Q201" s="54">
        <v>12</v>
      </c>
      <c r="R201" s="46" t="s">
        <v>299</v>
      </c>
      <c r="S201" s="46" t="s">
        <v>606</v>
      </c>
      <c r="T201" s="55" t="s">
        <v>607</v>
      </c>
      <c r="U201" s="55"/>
      <c r="V201" s="51" t="s">
        <v>5</v>
      </c>
      <c r="W201" s="51" t="s">
        <v>8</v>
      </c>
      <c r="X201" s="51"/>
      <c r="Y201" s="56">
        <v>1.2</v>
      </c>
      <c r="Z201" s="57">
        <v>5.1640000000000002E-3</v>
      </c>
      <c r="AA201" s="52" t="s">
        <v>722</v>
      </c>
      <c r="AB201" s="52" t="s">
        <v>722</v>
      </c>
      <c r="AC201" s="56" t="s">
        <v>722</v>
      </c>
    </row>
    <row r="202" spans="1:29" x14ac:dyDescent="0.25">
      <c r="A202" s="46" t="s">
        <v>608</v>
      </c>
      <c r="B202" s="47" t="s">
        <v>609</v>
      </c>
      <c r="C202" s="46" t="s">
        <v>608</v>
      </c>
      <c r="D202" s="48" t="s">
        <v>2</v>
      </c>
      <c r="E202" s="49" t="s">
        <v>2</v>
      </c>
      <c r="F202" s="50" t="s">
        <v>970</v>
      </c>
      <c r="G202" s="51" t="s">
        <v>3</v>
      </c>
      <c r="H202" s="52">
        <v>10550.57</v>
      </c>
      <c r="I202" s="52">
        <v>8792.14</v>
      </c>
      <c r="J202" s="52">
        <v>6752.3647999999994</v>
      </c>
      <c r="K202" s="52">
        <v>7912.9274999999998</v>
      </c>
      <c r="L202" s="53">
        <v>10550.57</v>
      </c>
      <c r="M202" s="53">
        <v>8792.14</v>
      </c>
      <c r="N202" s="52" t="s">
        <v>4</v>
      </c>
      <c r="O202" s="54">
        <v>1</v>
      </c>
      <c r="P202" s="54">
        <v>1</v>
      </c>
      <c r="Q202" s="54">
        <v>12</v>
      </c>
      <c r="R202" s="46" t="s">
        <v>299</v>
      </c>
      <c r="S202" s="46" t="s">
        <v>606</v>
      </c>
      <c r="T202" s="55" t="s">
        <v>607</v>
      </c>
      <c r="U202" s="55"/>
      <c r="V202" s="51" t="s">
        <v>5</v>
      </c>
      <c r="W202" s="51" t="s">
        <v>8</v>
      </c>
      <c r="X202" s="51"/>
      <c r="Y202" s="56">
        <v>1.206</v>
      </c>
      <c r="Z202" s="57">
        <v>5.3990000000000002E-3</v>
      </c>
      <c r="AA202" s="52" t="s">
        <v>722</v>
      </c>
      <c r="AB202" s="52" t="s">
        <v>722</v>
      </c>
      <c r="AC202" s="56" t="s">
        <v>722</v>
      </c>
    </row>
    <row r="203" spans="1:29" x14ac:dyDescent="0.25">
      <c r="A203" s="46" t="s">
        <v>610</v>
      </c>
      <c r="B203" s="47" t="s">
        <v>611</v>
      </c>
      <c r="C203" s="46" t="s">
        <v>610</v>
      </c>
      <c r="D203" s="48" t="s">
        <v>2</v>
      </c>
      <c r="E203" s="49" t="s">
        <v>2</v>
      </c>
      <c r="F203" s="50" t="s">
        <v>970</v>
      </c>
      <c r="G203" s="51" t="s">
        <v>3</v>
      </c>
      <c r="H203" s="52">
        <v>4830.3</v>
      </c>
      <c r="I203" s="52">
        <v>4025.25</v>
      </c>
      <c r="J203" s="52">
        <v>3091.3919999999998</v>
      </c>
      <c r="K203" s="52">
        <v>3622.7250000000004</v>
      </c>
      <c r="L203" s="53">
        <v>4830.3</v>
      </c>
      <c r="M203" s="53">
        <v>4025.25</v>
      </c>
      <c r="N203" s="52" t="s">
        <v>4</v>
      </c>
      <c r="O203" s="54">
        <v>1</v>
      </c>
      <c r="P203" s="54">
        <v>1</v>
      </c>
      <c r="Q203" s="54">
        <v>30</v>
      </c>
      <c r="R203" s="46" t="s">
        <v>299</v>
      </c>
      <c r="S203" s="46" t="s">
        <v>606</v>
      </c>
      <c r="T203" s="55" t="s">
        <v>607</v>
      </c>
      <c r="U203" s="55"/>
      <c r="V203" s="51" t="s">
        <v>5</v>
      </c>
      <c r="W203" s="51" t="s">
        <v>8</v>
      </c>
      <c r="X203" s="51"/>
      <c r="Y203" s="56">
        <v>0.4</v>
      </c>
      <c r="Z203" s="57">
        <v>1.1839999999999999E-3</v>
      </c>
      <c r="AA203" s="52" t="s">
        <v>722</v>
      </c>
      <c r="AB203" s="52" t="s">
        <v>722</v>
      </c>
      <c r="AC203" s="56" t="s">
        <v>722</v>
      </c>
    </row>
    <row r="204" spans="1:29" x14ac:dyDescent="0.25">
      <c r="A204" s="46" t="s">
        <v>612</v>
      </c>
      <c r="B204" s="47" t="s">
        <v>613</v>
      </c>
      <c r="C204" s="46" t="s">
        <v>612</v>
      </c>
      <c r="D204" s="48" t="s">
        <v>2</v>
      </c>
      <c r="E204" s="49" t="s">
        <v>2</v>
      </c>
      <c r="F204" s="50" t="s">
        <v>970</v>
      </c>
      <c r="G204" s="51" t="s">
        <v>3</v>
      </c>
      <c r="H204" s="52">
        <v>8157.26</v>
      </c>
      <c r="I204" s="52">
        <v>6797.72</v>
      </c>
      <c r="J204" s="52">
        <v>5220.6464000000005</v>
      </c>
      <c r="K204" s="52">
        <v>6117.9449999999997</v>
      </c>
      <c r="L204" s="53">
        <v>8157.26</v>
      </c>
      <c r="M204" s="53">
        <v>6797.72</v>
      </c>
      <c r="N204" s="52" t="s">
        <v>4</v>
      </c>
      <c r="O204" s="54">
        <v>1</v>
      </c>
      <c r="P204" s="54">
        <v>1</v>
      </c>
      <c r="Q204" s="54">
        <v>8</v>
      </c>
      <c r="R204" s="46" t="s">
        <v>299</v>
      </c>
      <c r="S204" s="46" t="s">
        <v>606</v>
      </c>
      <c r="T204" s="55" t="s">
        <v>607</v>
      </c>
      <c r="U204" s="55"/>
      <c r="V204" s="51" t="s">
        <v>5</v>
      </c>
      <c r="W204" s="51" t="s">
        <v>8</v>
      </c>
      <c r="X204" s="51"/>
      <c r="Y204" s="56">
        <v>1.756</v>
      </c>
      <c r="Z204" s="57">
        <v>7.6829999999999997E-3</v>
      </c>
      <c r="AA204" s="52" t="s">
        <v>722</v>
      </c>
      <c r="AB204" s="52" t="s">
        <v>722</v>
      </c>
      <c r="AC204" s="56" t="s">
        <v>722</v>
      </c>
    </row>
    <row r="205" spans="1:29" x14ac:dyDescent="0.25">
      <c r="A205" s="46" t="s">
        <v>614</v>
      </c>
      <c r="B205" s="47" t="s">
        <v>615</v>
      </c>
      <c r="C205" s="46" t="s">
        <v>614</v>
      </c>
      <c r="D205" s="48" t="s">
        <v>2</v>
      </c>
      <c r="E205" s="49" t="s">
        <v>2</v>
      </c>
      <c r="F205" s="50" t="s">
        <v>970</v>
      </c>
      <c r="G205" s="51" t="s">
        <v>3</v>
      </c>
      <c r="H205" s="52">
        <v>18907.48</v>
      </c>
      <c r="I205" s="52">
        <v>15756.23</v>
      </c>
      <c r="J205" s="52">
        <v>12100.787199999999</v>
      </c>
      <c r="K205" s="52">
        <v>14180.61</v>
      </c>
      <c r="L205" s="53">
        <v>18907.48</v>
      </c>
      <c r="M205" s="53">
        <v>15756.23</v>
      </c>
      <c r="N205" s="52" t="s">
        <v>4</v>
      </c>
      <c r="O205" s="54">
        <v>1</v>
      </c>
      <c r="P205" s="54">
        <v>1</v>
      </c>
      <c r="Q205" s="54">
        <v>5</v>
      </c>
      <c r="R205" s="46" t="s">
        <v>299</v>
      </c>
      <c r="S205" s="46" t="s">
        <v>606</v>
      </c>
      <c r="T205" s="55" t="s">
        <v>607</v>
      </c>
      <c r="U205" s="55"/>
      <c r="V205" s="51" t="s">
        <v>5</v>
      </c>
      <c r="W205" s="51" t="s">
        <v>8</v>
      </c>
      <c r="X205" s="51"/>
      <c r="Y205" s="56">
        <v>2.0529999999999999</v>
      </c>
      <c r="Z205" s="57">
        <v>1.3013E-2</v>
      </c>
      <c r="AA205" s="52" t="s">
        <v>722</v>
      </c>
      <c r="AB205" s="52" t="s">
        <v>722</v>
      </c>
      <c r="AC205" s="56" t="s">
        <v>722</v>
      </c>
    </row>
    <row r="206" spans="1:29" x14ac:dyDescent="0.25">
      <c r="A206" s="46" t="s">
        <v>616</v>
      </c>
      <c r="B206" s="47" t="s">
        <v>617</v>
      </c>
      <c r="C206" s="46" t="s">
        <v>616</v>
      </c>
      <c r="D206" s="48" t="s">
        <v>2</v>
      </c>
      <c r="E206" s="49" t="s">
        <v>2</v>
      </c>
      <c r="F206" s="50" t="s">
        <v>970</v>
      </c>
      <c r="G206" s="51" t="s">
        <v>3</v>
      </c>
      <c r="H206" s="52">
        <v>4965.9399999999996</v>
      </c>
      <c r="I206" s="52">
        <v>4138.28</v>
      </c>
      <c r="J206" s="52">
        <v>3178.2015999999994</v>
      </c>
      <c r="K206" s="52">
        <v>3724.4549999999999</v>
      </c>
      <c r="L206" s="53">
        <v>4965.9399999999996</v>
      </c>
      <c r="M206" s="53">
        <v>4138.28</v>
      </c>
      <c r="N206" s="52" t="s">
        <v>4</v>
      </c>
      <c r="O206" s="54">
        <v>1</v>
      </c>
      <c r="P206" s="54">
        <v>1</v>
      </c>
      <c r="Q206" s="54">
        <v>20</v>
      </c>
      <c r="R206" s="46" t="s">
        <v>299</v>
      </c>
      <c r="S206" s="46" t="s">
        <v>606</v>
      </c>
      <c r="T206" s="55" t="s">
        <v>607</v>
      </c>
      <c r="U206" s="55"/>
      <c r="V206" s="51" t="s">
        <v>5</v>
      </c>
      <c r="W206" s="51" t="s">
        <v>8</v>
      </c>
      <c r="X206" s="51"/>
      <c r="Y206" s="56">
        <v>0.67100000000000004</v>
      </c>
      <c r="Z206" s="57">
        <v>1.807E-3</v>
      </c>
      <c r="AA206" s="52" t="s">
        <v>722</v>
      </c>
      <c r="AB206" s="52" t="s">
        <v>722</v>
      </c>
      <c r="AC206" s="56" t="s">
        <v>722</v>
      </c>
    </row>
    <row r="207" spans="1:29" x14ac:dyDescent="0.25">
      <c r="A207" s="46" t="s">
        <v>618</v>
      </c>
      <c r="B207" s="47" t="s">
        <v>619</v>
      </c>
      <c r="C207" s="46" t="s">
        <v>618</v>
      </c>
      <c r="D207" s="48" t="s">
        <v>2</v>
      </c>
      <c r="E207" s="49" t="s">
        <v>2</v>
      </c>
      <c r="F207" s="50" t="s">
        <v>970</v>
      </c>
      <c r="G207" s="51" t="s">
        <v>3</v>
      </c>
      <c r="H207" s="52">
        <v>26057.58</v>
      </c>
      <c r="I207" s="52">
        <v>21714.65</v>
      </c>
      <c r="J207" s="52">
        <v>16676.851200000001</v>
      </c>
      <c r="K207" s="52">
        <v>19543.185000000001</v>
      </c>
      <c r="L207" s="53">
        <v>26057.58</v>
      </c>
      <c r="M207" s="53">
        <v>21714.65</v>
      </c>
      <c r="N207" s="52" t="s">
        <v>4</v>
      </c>
      <c r="O207" s="54">
        <v>1</v>
      </c>
      <c r="P207" s="54">
        <v>1</v>
      </c>
      <c r="Q207" s="54">
        <v>4</v>
      </c>
      <c r="R207" s="46" t="s">
        <v>299</v>
      </c>
      <c r="S207" s="46" t="s">
        <v>606</v>
      </c>
      <c r="T207" s="55" t="s">
        <v>607</v>
      </c>
      <c r="U207" s="55"/>
      <c r="V207" s="51" t="s">
        <v>5</v>
      </c>
      <c r="W207" s="51" t="s">
        <v>8</v>
      </c>
      <c r="X207" s="51"/>
      <c r="Y207" s="56">
        <v>4.0999999999999996</v>
      </c>
      <c r="Z207" s="57">
        <v>1.5790999999999999E-2</v>
      </c>
      <c r="AA207" s="52" t="s">
        <v>722</v>
      </c>
      <c r="AB207" s="52" t="s">
        <v>722</v>
      </c>
      <c r="AC207" s="56" t="s">
        <v>722</v>
      </c>
    </row>
    <row r="208" spans="1:29" x14ac:dyDescent="0.25">
      <c r="A208" s="46" t="s">
        <v>620</v>
      </c>
      <c r="B208" s="47" t="s">
        <v>621</v>
      </c>
      <c r="C208" s="46" t="s">
        <v>620</v>
      </c>
      <c r="D208" s="48" t="s">
        <v>2</v>
      </c>
      <c r="E208" s="49" t="s">
        <v>2</v>
      </c>
      <c r="F208" s="50" t="s">
        <v>970</v>
      </c>
      <c r="G208" s="51" t="s">
        <v>3</v>
      </c>
      <c r="H208" s="52">
        <v>1707.94</v>
      </c>
      <c r="I208" s="52">
        <v>1423.28</v>
      </c>
      <c r="J208" s="52">
        <v>1093.0816</v>
      </c>
      <c r="K208" s="52">
        <v>1280.9549999999999</v>
      </c>
      <c r="L208" s="53">
        <v>1707.94</v>
      </c>
      <c r="M208" s="53">
        <v>1423.28</v>
      </c>
      <c r="N208" s="52" t="s">
        <v>4</v>
      </c>
      <c r="O208" s="54">
        <v>1</v>
      </c>
      <c r="P208" s="54">
        <v>1</v>
      </c>
      <c r="Q208" s="54">
        <v>52</v>
      </c>
      <c r="R208" s="46" t="s">
        <v>299</v>
      </c>
      <c r="S208" s="46" t="s">
        <v>606</v>
      </c>
      <c r="T208" s="55" t="s">
        <v>607</v>
      </c>
      <c r="U208" s="55"/>
      <c r="V208" s="51" t="s">
        <v>5</v>
      </c>
      <c r="W208" s="51" t="s">
        <v>8</v>
      </c>
      <c r="X208" s="51"/>
      <c r="Y208" s="56">
        <v>0.12</v>
      </c>
      <c r="Z208" s="57">
        <v>6.7000000000000002E-4</v>
      </c>
      <c r="AA208" s="52" t="s">
        <v>722</v>
      </c>
      <c r="AB208" s="52" t="s">
        <v>722</v>
      </c>
      <c r="AC208" s="56" t="s">
        <v>722</v>
      </c>
    </row>
    <row r="209" spans="1:29" x14ac:dyDescent="0.25">
      <c r="A209" s="46" t="s">
        <v>622</v>
      </c>
      <c r="B209" s="47" t="s">
        <v>623</v>
      </c>
      <c r="C209" s="46" t="s">
        <v>622</v>
      </c>
      <c r="D209" s="48" t="s">
        <v>2</v>
      </c>
      <c r="E209" s="49" t="s">
        <v>2</v>
      </c>
      <c r="F209" s="50" t="s">
        <v>970</v>
      </c>
      <c r="G209" s="51" t="s">
        <v>3</v>
      </c>
      <c r="H209" s="52">
        <v>2272.04</v>
      </c>
      <c r="I209" s="52">
        <v>1893.37</v>
      </c>
      <c r="J209" s="52">
        <v>1454.1055999999999</v>
      </c>
      <c r="K209" s="52">
        <v>1704.03</v>
      </c>
      <c r="L209" s="53">
        <v>2272.04</v>
      </c>
      <c r="M209" s="53">
        <v>1893.37</v>
      </c>
      <c r="N209" s="52" t="s">
        <v>4</v>
      </c>
      <c r="O209" s="54">
        <v>1</v>
      </c>
      <c r="P209" s="54">
        <v>1</v>
      </c>
      <c r="Q209" s="54">
        <v>28</v>
      </c>
      <c r="R209" s="46" t="s">
        <v>299</v>
      </c>
      <c r="S209" s="46" t="s">
        <v>606</v>
      </c>
      <c r="T209" s="55" t="s">
        <v>607</v>
      </c>
      <c r="U209" s="55"/>
      <c r="V209" s="51" t="s">
        <v>5</v>
      </c>
      <c r="W209" s="51" t="s">
        <v>8</v>
      </c>
      <c r="X209" s="51"/>
      <c r="Y209" s="56">
        <v>0.2</v>
      </c>
      <c r="Z209" s="57">
        <v>1.25E-3</v>
      </c>
      <c r="AA209" s="52" t="s">
        <v>722</v>
      </c>
      <c r="AB209" s="52" t="s">
        <v>722</v>
      </c>
      <c r="AC209" s="56" t="s">
        <v>722</v>
      </c>
    </row>
    <row r="210" spans="1:29" x14ac:dyDescent="0.25">
      <c r="A210" s="46" t="s">
        <v>624</v>
      </c>
      <c r="B210" s="47" t="s">
        <v>625</v>
      </c>
      <c r="C210" s="46" t="s">
        <v>624</v>
      </c>
      <c r="D210" s="48" t="s">
        <v>2</v>
      </c>
      <c r="E210" s="49" t="s">
        <v>2</v>
      </c>
      <c r="F210" s="50" t="s">
        <v>970</v>
      </c>
      <c r="G210" s="51" t="s">
        <v>3</v>
      </c>
      <c r="H210" s="52">
        <v>1857.08</v>
      </c>
      <c r="I210" s="52">
        <v>1547.57</v>
      </c>
      <c r="J210" s="52">
        <v>1188.5311999999999</v>
      </c>
      <c r="K210" s="52">
        <v>1392.81</v>
      </c>
      <c r="L210" s="53">
        <v>1857.08</v>
      </c>
      <c r="M210" s="53">
        <v>1547.57</v>
      </c>
      <c r="N210" s="52" t="s">
        <v>4</v>
      </c>
      <c r="O210" s="54">
        <v>1</v>
      </c>
      <c r="P210" s="54">
        <v>1</v>
      </c>
      <c r="Q210" s="54">
        <v>28</v>
      </c>
      <c r="R210" s="46" t="s">
        <v>299</v>
      </c>
      <c r="S210" s="46" t="s">
        <v>606</v>
      </c>
      <c r="T210" s="55" t="s">
        <v>607</v>
      </c>
      <c r="U210" s="55"/>
      <c r="V210" s="51" t="s">
        <v>5</v>
      </c>
      <c r="W210" s="51" t="s">
        <v>8</v>
      </c>
      <c r="X210" s="51"/>
      <c r="Y210" s="56">
        <v>0.39100000000000001</v>
      </c>
      <c r="Z210" s="57">
        <v>2.1459999999999999E-3</v>
      </c>
      <c r="AA210" s="52" t="s">
        <v>722</v>
      </c>
      <c r="AB210" s="52" t="s">
        <v>722</v>
      </c>
      <c r="AC210" s="56" t="s">
        <v>722</v>
      </c>
    </row>
    <row r="211" spans="1:29" x14ac:dyDescent="0.25">
      <c r="A211" s="46" t="s">
        <v>626</v>
      </c>
      <c r="B211" s="47" t="s">
        <v>627</v>
      </c>
      <c r="C211" s="46" t="s">
        <v>626</v>
      </c>
      <c r="D211" s="48" t="s">
        <v>2</v>
      </c>
      <c r="E211" s="49" t="s">
        <v>2</v>
      </c>
      <c r="F211" s="50" t="s">
        <v>970</v>
      </c>
      <c r="G211" s="51" t="s">
        <v>3</v>
      </c>
      <c r="H211" s="52">
        <v>4784.33</v>
      </c>
      <c r="I211" s="52">
        <v>3986.94</v>
      </c>
      <c r="J211" s="52">
        <v>3061.9712</v>
      </c>
      <c r="K211" s="52">
        <v>3588.2474999999999</v>
      </c>
      <c r="L211" s="53">
        <v>4784.33</v>
      </c>
      <c r="M211" s="53">
        <v>3986.94</v>
      </c>
      <c r="N211" s="52" t="s">
        <v>4</v>
      </c>
      <c r="O211" s="54">
        <v>1</v>
      </c>
      <c r="P211" s="54">
        <v>1</v>
      </c>
      <c r="Q211" s="54">
        <v>20</v>
      </c>
      <c r="R211" s="46" t="s">
        <v>299</v>
      </c>
      <c r="S211" s="46" t="s">
        <v>606</v>
      </c>
      <c r="T211" s="55" t="s">
        <v>607</v>
      </c>
      <c r="U211" s="55"/>
      <c r="V211" s="51" t="s">
        <v>5</v>
      </c>
      <c r="W211" s="51" t="s">
        <v>8</v>
      </c>
      <c r="X211" s="51"/>
      <c r="Y211" s="56">
        <v>0.57799999999999996</v>
      </c>
      <c r="Z211" s="57">
        <v>3.725E-3</v>
      </c>
      <c r="AA211" s="52" t="s">
        <v>722</v>
      </c>
      <c r="AB211" s="52" t="s">
        <v>722</v>
      </c>
      <c r="AC211" s="56" t="s">
        <v>722</v>
      </c>
    </row>
    <row r="212" spans="1:29" x14ac:dyDescent="0.25">
      <c r="A212" s="46" t="s">
        <v>628</v>
      </c>
      <c r="B212" s="47" t="s">
        <v>629</v>
      </c>
      <c r="C212" s="46" t="s">
        <v>628</v>
      </c>
      <c r="D212" s="48" t="s">
        <v>2</v>
      </c>
      <c r="E212" s="49" t="s">
        <v>2</v>
      </c>
      <c r="F212" s="50" t="s">
        <v>970</v>
      </c>
      <c r="G212" s="51" t="s">
        <v>3</v>
      </c>
      <c r="H212" s="52">
        <v>1746.57</v>
      </c>
      <c r="I212" s="52">
        <v>1455.48</v>
      </c>
      <c r="J212" s="52">
        <v>1117.8047999999999</v>
      </c>
      <c r="K212" s="52">
        <v>1309.9275</v>
      </c>
      <c r="L212" s="53">
        <v>1746.57</v>
      </c>
      <c r="M212" s="53">
        <v>1455.48</v>
      </c>
      <c r="N212" s="52" t="s">
        <v>4</v>
      </c>
      <c r="O212" s="54">
        <v>1</v>
      </c>
      <c r="P212" s="54">
        <v>1</v>
      </c>
      <c r="Q212" s="54">
        <v>84</v>
      </c>
      <c r="R212" s="46" t="s">
        <v>299</v>
      </c>
      <c r="S212" s="46" t="s">
        <v>606</v>
      </c>
      <c r="T212" s="55" t="s">
        <v>607</v>
      </c>
      <c r="U212" s="55"/>
      <c r="V212" s="51" t="s">
        <v>5</v>
      </c>
      <c r="W212" s="51" t="s">
        <v>8</v>
      </c>
      <c r="X212" s="51"/>
      <c r="Y212" s="56">
        <v>0.106</v>
      </c>
      <c r="Z212" s="57">
        <v>5.1999999999999995E-4</v>
      </c>
      <c r="AA212" s="52" t="s">
        <v>722</v>
      </c>
      <c r="AB212" s="52" t="s">
        <v>722</v>
      </c>
      <c r="AC212" s="56" t="s">
        <v>722</v>
      </c>
    </row>
    <row r="215" spans="1:29" ht="25.5" x14ac:dyDescent="0.25">
      <c r="A215" s="46" t="s">
        <v>635</v>
      </c>
      <c r="B215" s="47" t="s">
        <v>636</v>
      </c>
      <c r="C215" s="46" t="s">
        <v>635</v>
      </c>
      <c r="D215" s="48" t="s">
        <v>2</v>
      </c>
      <c r="E215" s="49" t="s">
        <v>2</v>
      </c>
      <c r="F215" s="50" t="s">
        <v>971</v>
      </c>
      <c r="G215" s="51" t="s">
        <v>3</v>
      </c>
      <c r="H215" s="52">
        <v>25545.41</v>
      </c>
      <c r="I215" s="52">
        <v>21287.84</v>
      </c>
      <c r="J215" s="52">
        <v>16349.062399999999</v>
      </c>
      <c r="K215" s="52">
        <v>19159.057499999999</v>
      </c>
      <c r="L215" s="53">
        <v>25545.41</v>
      </c>
      <c r="M215" s="53">
        <v>21287.84</v>
      </c>
      <c r="N215" s="52" t="s">
        <v>4</v>
      </c>
      <c r="O215" s="54">
        <v>1</v>
      </c>
      <c r="P215" s="54">
        <v>1</v>
      </c>
      <c r="Q215" s="54">
        <v>12</v>
      </c>
      <c r="R215" s="46" t="s">
        <v>299</v>
      </c>
      <c r="S215" s="46" t="s">
        <v>606</v>
      </c>
      <c r="T215" s="55" t="s">
        <v>632</v>
      </c>
      <c r="U215" s="55"/>
      <c r="V215" s="51" t="s">
        <v>5</v>
      </c>
      <c r="W215" s="51" t="s">
        <v>8</v>
      </c>
      <c r="X215" s="51"/>
      <c r="Y215" s="56">
        <v>1.5</v>
      </c>
      <c r="Z215" s="57">
        <v>4.0000000000000001E-3</v>
      </c>
      <c r="AA215" s="52" t="s">
        <v>722</v>
      </c>
      <c r="AB215" s="52" t="s">
        <v>722</v>
      </c>
      <c r="AC215" s="56" t="s">
        <v>722</v>
      </c>
    </row>
    <row r="216" spans="1:29" ht="25.5" x14ac:dyDescent="0.25">
      <c r="A216" s="46" t="s">
        <v>637</v>
      </c>
      <c r="B216" s="47" t="s">
        <v>638</v>
      </c>
      <c r="C216" s="46" t="s">
        <v>637</v>
      </c>
      <c r="D216" s="48" t="s">
        <v>2</v>
      </c>
      <c r="E216" s="49" t="s">
        <v>2</v>
      </c>
      <c r="F216" s="50" t="s">
        <v>971</v>
      </c>
      <c r="G216" s="51" t="s">
        <v>3</v>
      </c>
      <c r="H216" s="52">
        <v>25545.66</v>
      </c>
      <c r="I216" s="52">
        <v>21288.05</v>
      </c>
      <c r="J216" s="52">
        <v>16349.222400000001</v>
      </c>
      <c r="K216" s="52">
        <v>19159.244999999999</v>
      </c>
      <c r="L216" s="53">
        <v>25545.66</v>
      </c>
      <c r="M216" s="53">
        <v>21288.05</v>
      </c>
      <c r="N216" s="52" t="s">
        <v>4</v>
      </c>
      <c r="O216" s="54">
        <v>1</v>
      </c>
      <c r="P216" s="54">
        <v>1</v>
      </c>
      <c r="Q216" s="54">
        <v>12</v>
      </c>
      <c r="R216" s="46" t="s">
        <v>299</v>
      </c>
      <c r="S216" s="46" t="s">
        <v>606</v>
      </c>
      <c r="T216" s="55" t="s">
        <v>632</v>
      </c>
      <c r="U216" s="55"/>
      <c r="V216" s="51" t="s">
        <v>5</v>
      </c>
      <c r="W216" s="51" t="s">
        <v>8</v>
      </c>
      <c r="X216" s="51"/>
      <c r="Y216" s="56">
        <v>1.5</v>
      </c>
      <c r="Z216" s="57">
        <v>4.0000000000000001E-3</v>
      </c>
      <c r="AA216" s="52" t="s">
        <v>722</v>
      </c>
      <c r="AB216" s="52" t="s">
        <v>722</v>
      </c>
      <c r="AC216" s="56" t="s">
        <v>722</v>
      </c>
    </row>
    <row r="217" spans="1:29" ht="25.5" x14ac:dyDescent="0.25">
      <c r="A217" s="46" t="s">
        <v>630</v>
      </c>
      <c r="B217" s="47" t="s">
        <v>631</v>
      </c>
      <c r="C217" s="46" t="s">
        <v>630</v>
      </c>
      <c r="D217" s="48" t="s">
        <v>2</v>
      </c>
      <c r="E217" s="49" t="s">
        <v>2</v>
      </c>
      <c r="F217" s="50" t="s">
        <v>971</v>
      </c>
      <c r="G217" s="51" t="s">
        <v>3</v>
      </c>
      <c r="H217" s="52">
        <v>26428.080000000002</v>
      </c>
      <c r="I217" s="52">
        <v>22023.4</v>
      </c>
      <c r="J217" s="52">
        <v>16913.9712</v>
      </c>
      <c r="K217" s="52">
        <v>19821.060000000001</v>
      </c>
      <c r="L217" s="53">
        <v>26428.080000000002</v>
      </c>
      <c r="M217" s="53">
        <v>22023.4</v>
      </c>
      <c r="N217" s="52" t="s">
        <v>4</v>
      </c>
      <c r="O217" s="54">
        <v>1</v>
      </c>
      <c r="P217" s="54">
        <v>1</v>
      </c>
      <c r="Q217" s="54">
        <v>12</v>
      </c>
      <c r="R217" s="46" t="s">
        <v>299</v>
      </c>
      <c r="S217" s="46" t="s">
        <v>606</v>
      </c>
      <c r="T217" s="55" t="s">
        <v>632</v>
      </c>
      <c r="U217" s="55"/>
      <c r="V217" s="51" t="s">
        <v>5</v>
      </c>
      <c r="W217" s="51" t="s">
        <v>8</v>
      </c>
      <c r="X217" s="51"/>
      <c r="Y217" s="56">
        <v>1.34</v>
      </c>
      <c r="Z217" s="57">
        <v>4.2770000000000004E-3</v>
      </c>
      <c r="AA217" s="52" t="s">
        <v>722</v>
      </c>
      <c r="AB217" s="52" t="s">
        <v>722</v>
      </c>
      <c r="AC217" s="56" t="s">
        <v>722</v>
      </c>
    </row>
    <row r="218" spans="1:29" ht="25.5" x14ac:dyDescent="0.25">
      <c r="A218" s="46" t="s">
        <v>633</v>
      </c>
      <c r="B218" s="47" t="s">
        <v>634</v>
      </c>
      <c r="C218" s="46" t="s">
        <v>633</v>
      </c>
      <c r="D218" s="48" t="s">
        <v>2</v>
      </c>
      <c r="E218" s="49" t="s">
        <v>2</v>
      </c>
      <c r="F218" s="50" t="s">
        <v>971</v>
      </c>
      <c r="G218" s="51" t="s">
        <v>3</v>
      </c>
      <c r="H218" s="52">
        <v>26770.34</v>
      </c>
      <c r="I218" s="52">
        <v>22308.62</v>
      </c>
      <c r="J218" s="52">
        <v>17133.017599999999</v>
      </c>
      <c r="K218" s="52">
        <v>20077.755000000001</v>
      </c>
      <c r="L218" s="53">
        <v>26770.34</v>
      </c>
      <c r="M218" s="53">
        <v>22308.62</v>
      </c>
      <c r="N218" s="52" t="s">
        <v>4</v>
      </c>
      <c r="O218" s="54">
        <v>1</v>
      </c>
      <c r="P218" s="54">
        <v>1</v>
      </c>
      <c r="Q218" s="54">
        <v>12</v>
      </c>
      <c r="R218" s="46" t="s">
        <v>299</v>
      </c>
      <c r="S218" s="46" t="s">
        <v>606</v>
      </c>
      <c r="T218" s="55" t="s">
        <v>632</v>
      </c>
      <c r="U218" s="55"/>
      <c r="V218" s="51" t="s">
        <v>5</v>
      </c>
      <c r="W218" s="51" t="s">
        <v>8</v>
      </c>
      <c r="X218" s="51"/>
      <c r="Y218" s="56">
        <v>1.5</v>
      </c>
      <c r="Z218" s="57">
        <v>4.0000000000000001E-3</v>
      </c>
      <c r="AA218" s="52" t="s">
        <v>722</v>
      </c>
      <c r="AB218" s="52" t="s">
        <v>722</v>
      </c>
      <c r="AC218" s="56" t="s">
        <v>722</v>
      </c>
    </row>
    <row r="219" spans="1:29" x14ac:dyDescent="0.25">
      <c r="A219" s="46" t="s">
        <v>643</v>
      </c>
      <c r="B219" s="47" t="s">
        <v>644</v>
      </c>
      <c r="C219" s="46" t="s">
        <v>643</v>
      </c>
      <c r="D219" s="48" t="s">
        <v>2</v>
      </c>
      <c r="E219" s="49" t="s">
        <v>2</v>
      </c>
      <c r="F219" s="50" t="s">
        <v>971</v>
      </c>
      <c r="G219" s="51" t="s">
        <v>3</v>
      </c>
      <c r="H219" s="52">
        <v>3310.51</v>
      </c>
      <c r="I219" s="52">
        <v>2758.76</v>
      </c>
      <c r="J219" s="52">
        <v>2118.7264</v>
      </c>
      <c r="K219" s="52">
        <v>2482.8825000000002</v>
      </c>
      <c r="L219" s="53">
        <v>3310.51</v>
      </c>
      <c r="M219" s="53">
        <v>2758.76</v>
      </c>
      <c r="N219" s="52" t="s">
        <v>4</v>
      </c>
      <c r="O219" s="54">
        <v>1</v>
      </c>
      <c r="P219" s="54">
        <v>1</v>
      </c>
      <c r="Q219" s="54">
        <v>50</v>
      </c>
      <c r="R219" s="46" t="s">
        <v>299</v>
      </c>
      <c r="S219" s="46" t="s">
        <v>606</v>
      </c>
      <c r="T219" s="55" t="s">
        <v>632</v>
      </c>
      <c r="U219" s="55"/>
      <c r="V219" s="51" t="s">
        <v>5</v>
      </c>
      <c r="W219" s="51" t="s">
        <v>8</v>
      </c>
      <c r="X219" s="51"/>
      <c r="Y219" s="56">
        <v>0.24</v>
      </c>
      <c r="Z219" s="57">
        <v>5.7600000000000001E-4</v>
      </c>
      <c r="AA219" s="52" t="s">
        <v>722</v>
      </c>
      <c r="AB219" s="52" t="s">
        <v>722</v>
      </c>
      <c r="AC219" s="56" t="s">
        <v>722</v>
      </c>
    </row>
    <row r="220" spans="1:29" x14ac:dyDescent="0.25">
      <c r="A220" s="46" t="s">
        <v>645</v>
      </c>
      <c r="B220" s="47" t="s">
        <v>646</v>
      </c>
      <c r="C220" s="46" t="s">
        <v>645</v>
      </c>
      <c r="D220" s="48" t="s">
        <v>2</v>
      </c>
      <c r="E220" s="49" t="s">
        <v>2</v>
      </c>
      <c r="F220" s="50" t="s">
        <v>971</v>
      </c>
      <c r="G220" s="51" t="s">
        <v>3</v>
      </c>
      <c r="H220" s="52">
        <v>3534.19</v>
      </c>
      <c r="I220" s="52">
        <v>2945.16</v>
      </c>
      <c r="J220" s="52">
        <v>2261.8816000000002</v>
      </c>
      <c r="K220" s="52">
        <v>2650.6424999999999</v>
      </c>
      <c r="L220" s="53">
        <v>3534.19</v>
      </c>
      <c r="M220" s="53">
        <v>2945.16</v>
      </c>
      <c r="N220" s="52" t="s">
        <v>4</v>
      </c>
      <c r="O220" s="54">
        <v>1</v>
      </c>
      <c r="P220" s="54">
        <v>1</v>
      </c>
      <c r="Q220" s="54">
        <v>50</v>
      </c>
      <c r="R220" s="46" t="s">
        <v>299</v>
      </c>
      <c r="S220" s="46" t="s">
        <v>606</v>
      </c>
      <c r="T220" s="55" t="s">
        <v>632</v>
      </c>
      <c r="U220" s="55"/>
      <c r="V220" s="51" t="s">
        <v>5</v>
      </c>
      <c r="W220" s="51" t="s">
        <v>8</v>
      </c>
      <c r="X220" s="51"/>
      <c r="Y220" s="56">
        <v>0.24</v>
      </c>
      <c r="Z220" s="57">
        <v>5.7600000000000001E-4</v>
      </c>
      <c r="AA220" s="52" t="s">
        <v>722</v>
      </c>
      <c r="AB220" s="52" t="s">
        <v>722</v>
      </c>
      <c r="AC220" s="56" t="s">
        <v>722</v>
      </c>
    </row>
    <row r="221" spans="1:29" x14ac:dyDescent="0.25">
      <c r="A221" s="46" t="s">
        <v>647</v>
      </c>
      <c r="B221" s="47" t="s">
        <v>648</v>
      </c>
      <c r="C221" s="46" t="s">
        <v>647</v>
      </c>
      <c r="D221" s="48" t="s">
        <v>2</v>
      </c>
      <c r="E221" s="49" t="s">
        <v>2</v>
      </c>
      <c r="F221" s="50" t="s">
        <v>971</v>
      </c>
      <c r="G221" s="51" t="s">
        <v>3</v>
      </c>
      <c r="H221" s="52">
        <v>4428.88</v>
      </c>
      <c r="I221" s="52">
        <v>3690.73</v>
      </c>
      <c r="J221" s="52">
        <v>2834.4832000000001</v>
      </c>
      <c r="K221" s="52">
        <v>3321.66</v>
      </c>
      <c r="L221" s="53">
        <v>4428.88</v>
      </c>
      <c r="M221" s="53">
        <v>3690.73</v>
      </c>
      <c r="N221" s="52" t="s">
        <v>4</v>
      </c>
      <c r="O221" s="54">
        <v>1</v>
      </c>
      <c r="P221" s="54">
        <v>1</v>
      </c>
      <c r="Q221" s="54">
        <v>40</v>
      </c>
      <c r="R221" s="46" t="s">
        <v>299</v>
      </c>
      <c r="S221" s="46" t="s">
        <v>606</v>
      </c>
      <c r="T221" s="55" t="s">
        <v>632</v>
      </c>
      <c r="U221" s="55"/>
      <c r="V221" s="51" t="s">
        <v>5</v>
      </c>
      <c r="W221" s="51" t="s">
        <v>8</v>
      </c>
      <c r="X221" s="51"/>
      <c r="Y221" s="56">
        <v>0.42</v>
      </c>
      <c r="Z221" s="57">
        <v>9.6000000000000002E-4</v>
      </c>
      <c r="AA221" s="52" t="s">
        <v>722</v>
      </c>
      <c r="AB221" s="52" t="s">
        <v>722</v>
      </c>
      <c r="AC221" s="56" t="s">
        <v>722</v>
      </c>
    </row>
    <row r="222" spans="1:29" x14ac:dyDescent="0.25">
      <c r="A222" s="46" t="s">
        <v>639</v>
      </c>
      <c r="B222" s="47" t="s">
        <v>640</v>
      </c>
      <c r="C222" s="46" t="s">
        <v>639</v>
      </c>
      <c r="D222" s="48" t="s">
        <v>2</v>
      </c>
      <c r="E222" s="49" t="s">
        <v>2</v>
      </c>
      <c r="F222" s="50" t="s">
        <v>971</v>
      </c>
      <c r="G222" s="51" t="s">
        <v>3</v>
      </c>
      <c r="H222" s="52">
        <v>4079.96</v>
      </c>
      <c r="I222" s="52">
        <v>3399.97</v>
      </c>
      <c r="J222" s="52">
        <v>2611.1743999999999</v>
      </c>
      <c r="K222" s="52">
        <v>3059.9700000000003</v>
      </c>
      <c r="L222" s="53">
        <v>4079.96</v>
      </c>
      <c r="M222" s="53">
        <v>3399.97</v>
      </c>
      <c r="N222" s="52" t="s">
        <v>4</v>
      </c>
      <c r="O222" s="54">
        <v>1</v>
      </c>
      <c r="P222" s="54">
        <v>1</v>
      </c>
      <c r="Q222" s="54">
        <v>40</v>
      </c>
      <c r="R222" s="46" t="s">
        <v>299</v>
      </c>
      <c r="S222" s="46" t="s">
        <v>606</v>
      </c>
      <c r="T222" s="55" t="s">
        <v>632</v>
      </c>
      <c r="U222" s="55"/>
      <c r="V222" s="51" t="s">
        <v>5</v>
      </c>
      <c r="W222" s="51" t="s">
        <v>8</v>
      </c>
      <c r="X222" s="51"/>
      <c r="Y222" s="56">
        <v>0.43</v>
      </c>
      <c r="Z222" s="57">
        <v>9.6000000000000002E-4</v>
      </c>
      <c r="AA222" s="52" t="s">
        <v>722</v>
      </c>
      <c r="AB222" s="52" t="s">
        <v>722</v>
      </c>
      <c r="AC222" s="56" t="s">
        <v>722</v>
      </c>
    </row>
    <row r="223" spans="1:29" x14ac:dyDescent="0.25">
      <c r="A223" s="46" t="s">
        <v>641</v>
      </c>
      <c r="B223" s="47" t="s">
        <v>642</v>
      </c>
      <c r="C223" s="46" t="s">
        <v>641</v>
      </c>
      <c r="D223" s="48" t="s">
        <v>2</v>
      </c>
      <c r="E223" s="49" t="s">
        <v>2</v>
      </c>
      <c r="F223" s="50" t="s">
        <v>971</v>
      </c>
      <c r="G223" s="51" t="s">
        <v>3</v>
      </c>
      <c r="H223" s="52">
        <v>6710.41</v>
      </c>
      <c r="I223" s="52">
        <v>5592.01</v>
      </c>
      <c r="J223" s="52">
        <v>4294.6623999999993</v>
      </c>
      <c r="K223" s="52">
        <v>5032.8074999999999</v>
      </c>
      <c r="L223" s="53">
        <v>6710.41</v>
      </c>
      <c r="M223" s="53">
        <v>5592.01</v>
      </c>
      <c r="N223" s="52" t="s">
        <v>4</v>
      </c>
      <c r="O223" s="54">
        <v>1</v>
      </c>
      <c r="P223" s="54">
        <v>1</v>
      </c>
      <c r="Q223" s="54">
        <v>25</v>
      </c>
      <c r="R223" s="46" t="s">
        <v>299</v>
      </c>
      <c r="S223" s="46" t="s">
        <v>606</v>
      </c>
      <c r="T223" s="55" t="s">
        <v>632</v>
      </c>
      <c r="U223" s="55"/>
      <c r="V223" s="51" t="s">
        <v>5</v>
      </c>
      <c r="W223" s="51" t="s">
        <v>8</v>
      </c>
      <c r="X223" s="51"/>
      <c r="Y223" s="56">
        <v>0.63</v>
      </c>
      <c r="Z223" s="57">
        <v>1.3439999999999999E-3</v>
      </c>
      <c r="AA223" s="52" t="s">
        <v>722</v>
      </c>
      <c r="AB223" s="52" t="s">
        <v>722</v>
      </c>
      <c r="AC223" s="56" t="s">
        <v>722</v>
      </c>
    </row>
    <row r="224" spans="1:29" ht="25.5" x14ac:dyDescent="0.25">
      <c r="A224" s="46" t="s">
        <v>649</v>
      </c>
      <c r="B224" s="47" t="s">
        <v>650</v>
      </c>
      <c r="C224" s="46" t="s">
        <v>649</v>
      </c>
      <c r="D224" s="48" t="s">
        <v>2</v>
      </c>
      <c r="E224" s="49" t="s">
        <v>2</v>
      </c>
      <c r="F224" s="50" t="s">
        <v>971</v>
      </c>
      <c r="G224" s="51" t="s">
        <v>3</v>
      </c>
      <c r="H224" s="52">
        <v>4344.43</v>
      </c>
      <c r="I224" s="52">
        <v>3620.36</v>
      </c>
      <c r="J224" s="52">
        <v>2780.4351999999999</v>
      </c>
      <c r="K224" s="52">
        <v>3258.3225000000002</v>
      </c>
      <c r="L224" s="53">
        <v>4344.43</v>
      </c>
      <c r="M224" s="53">
        <v>3620.36</v>
      </c>
      <c r="N224" s="52" t="s">
        <v>4</v>
      </c>
      <c r="O224" s="54">
        <v>1</v>
      </c>
      <c r="P224" s="54">
        <v>1</v>
      </c>
      <c r="Q224" s="54">
        <v>40</v>
      </c>
      <c r="R224" s="46" t="s">
        <v>299</v>
      </c>
      <c r="S224" s="46" t="s">
        <v>606</v>
      </c>
      <c r="T224" s="55" t="s">
        <v>632</v>
      </c>
      <c r="U224" s="55"/>
      <c r="V224" s="51" t="s">
        <v>5</v>
      </c>
      <c r="W224" s="51" t="s">
        <v>8</v>
      </c>
      <c r="X224" s="51"/>
      <c r="Y224" s="56">
        <v>0.43</v>
      </c>
      <c r="Z224" s="57">
        <v>4.86E-4</v>
      </c>
      <c r="AA224" s="52" t="s">
        <v>722</v>
      </c>
      <c r="AB224" s="52" t="s">
        <v>722</v>
      </c>
      <c r="AC224" s="56" t="s">
        <v>722</v>
      </c>
    </row>
    <row r="225" spans="1:29" ht="25.5" x14ac:dyDescent="0.25">
      <c r="A225" s="46" t="s">
        <v>651</v>
      </c>
      <c r="B225" s="47" t="s">
        <v>652</v>
      </c>
      <c r="C225" s="46" t="s">
        <v>651</v>
      </c>
      <c r="D225" s="48" t="s">
        <v>2</v>
      </c>
      <c r="E225" s="49" t="s">
        <v>2</v>
      </c>
      <c r="F225" s="50" t="s">
        <v>971</v>
      </c>
      <c r="G225" s="51" t="s">
        <v>3</v>
      </c>
      <c r="H225" s="52">
        <v>5631.69</v>
      </c>
      <c r="I225" s="52">
        <v>4693.08</v>
      </c>
      <c r="J225" s="52">
        <v>3604.2815999999993</v>
      </c>
      <c r="K225" s="52">
        <v>4223.7674999999999</v>
      </c>
      <c r="L225" s="53">
        <v>5631.69</v>
      </c>
      <c r="M225" s="53">
        <v>4693.08</v>
      </c>
      <c r="N225" s="52" t="s">
        <v>4</v>
      </c>
      <c r="O225" s="54">
        <v>1</v>
      </c>
      <c r="P225" s="54">
        <v>1</v>
      </c>
      <c r="Q225" s="54">
        <v>25</v>
      </c>
      <c r="R225" s="46" t="s">
        <v>299</v>
      </c>
      <c r="S225" s="46" t="s">
        <v>606</v>
      </c>
      <c r="T225" s="55" t="s">
        <v>632</v>
      </c>
      <c r="U225" s="55"/>
      <c r="V225" s="51" t="s">
        <v>5</v>
      </c>
      <c r="W225" s="51" t="s">
        <v>8</v>
      </c>
      <c r="X225" s="51"/>
      <c r="Y225" s="56">
        <v>0.63</v>
      </c>
      <c r="Z225" s="57">
        <v>1.3439999999999999E-3</v>
      </c>
      <c r="AA225" s="52" t="s">
        <v>722</v>
      </c>
      <c r="AB225" s="52" t="s">
        <v>722</v>
      </c>
      <c r="AC225" s="56" t="s">
        <v>722</v>
      </c>
    </row>
    <row r="226" spans="1:29" x14ac:dyDescent="0.25">
      <c r="A226" s="46" t="s">
        <v>653</v>
      </c>
      <c r="B226" s="47" t="s">
        <v>654</v>
      </c>
      <c r="C226" s="46" t="s">
        <v>653</v>
      </c>
      <c r="D226" s="48" t="s">
        <v>2</v>
      </c>
      <c r="E226" s="49" t="s">
        <v>2</v>
      </c>
      <c r="F226" s="50" t="s">
        <v>971</v>
      </c>
      <c r="G226" s="51" t="s">
        <v>3</v>
      </c>
      <c r="H226" s="52">
        <v>1953.75</v>
      </c>
      <c r="I226" s="52">
        <v>1628.13</v>
      </c>
      <c r="J226" s="52">
        <v>1250.4000000000001</v>
      </c>
      <c r="K226" s="52">
        <v>1465.3125</v>
      </c>
      <c r="L226" s="53">
        <v>1953.75</v>
      </c>
      <c r="M226" s="53">
        <v>1628.13</v>
      </c>
      <c r="N226" s="52" t="s">
        <v>4</v>
      </c>
      <c r="O226" s="54">
        <v>1</v>
      </c>
      <c r="P226" s="54">
        <v>1</v>
      </c>
      <c r="Q226" s="54">
        <v>50</v>
      </c>
      <c r="R226" s="46" t="s">
        <v>299</v>
      </c>
      <c r="S226" s="46" t="s">
        <v>606</v>
      </c>
      <c r="T226" s="55" t="s">
        <v>632</v>
      </c>
      <c r="U226" s="55"/>
      <c r="V226" s="51" t="s">
        <v>5</v>
      </c>
      <c r="W226" s="51" t="s">
        <v>8</v>
      </c>
      <c r="X226" s="51"/>
      <c r="Y226" s="56">
        <v>0.24</v>
      </c>
      <c r="Z226" s="57">
        <v>5.7600000000000001E-4</v>
      </c>
      <c r="AA226" s="52" t="s">
        <v>722</v>
      </c>
      <c r="AB226" s="52" t="s">
        <v>722</v>
      </c>
      <c r="AC226" s="56" t="s">
        <v>722</v>
      </c>
    </row>
    <row r="227" spans="1:29" x14ac:dyDescent="0.25">
      <c r="A227" s="46" t="s">
        <v>655</v>
      </c>
      <c r="B227" s="47" t="s">
        <v>656</v>
      </c>
      <c r="C227" s="46" t="s">
        <v>655</v>
      </c>
      <c r="D227" s="48" t="s">
        <v>2</v>
      </c>
      <c r="E227" s="49" t="s">
        <v>2</v>
      </c>
      <c r="F227" s="50" t="s">
        <v>971</v>
      </c>
      <c r="G227" s="51" t="s">
        <v>3</v>
      </c>
      <c r="H227" s="52">
        <v>2899.08</v>
      </c>
      <c r="I227" s="52">
        <v>2415.9</v>
      </c>
      <c r="J227" s="52">
        <v>1855.4111999999998</v>
      </c>
      <c r="K227" s="52">
        <v>2174.31</v>
      </c>
      <c r="L227" s="53">
        <v>2899.08</v>
      </c>
      <c r="M227" s="53">
        <v>2415.9</v>
      </c>
      <c r="N227" s="52" t="s">
        <v>4</v>
      </c>
      <c r="O227" s="54">
        <v>1</v>
      </c>
      <c r="P227" s="54">
        <v>1</v>
      </c>
      <c r="Q227" s="54">
        <v>50</v>
      </c>
      <c r="R227" s="46" t="s">
        <v>299</v>
      </c>
      <c r="S227" s="46" t="s">
        <v>606</v>
      </c>
      <c r="T227" s="55" t="s">
        <v>632</v>
      </c>
      <c r="U227" s="55"/>
      <c r="V227" s="51" t="s">
        <v>5</v>
      </c>
      <c r="W227" s="51" t="s">
        <v>8</v>
      </c>
      <c r="X227" s="51"/>
      <c r="Y227" s="56">
        <v>0.253</v>
      </c>
      <c r="Z227" s="57">
        <v>6.4499999999999996E-4</v>
      </c>
      <c r="AA227" s="52" t="s">
        <v>722</v>
      </c>
      <c r="AB227" s="52" t="s">
        <v>722</v>
      </c>
      <c r="AC227" s="56" t="s">
        <v>722</v>
      </c>
    </row>
    <row r="228" spans="1:29" x14ac:dyDescent="0.25">
      <c r="A228" s="46" t="s">
        <v>657</v>
      </c>
      <c r="B228" s="47" t="s">
        <v>658</v>
      </c>
      <c r="C228" s="46" t="s">
        <v>657</v>
      </c>
      <c r="D228" s="48" t="s">
        <v>2</v>
      </c>
      <c r="E228" s="49" t="s">
        <v>2</v>
      </c>
      <c r="F228" s="50" t="s">
        <v>971</v>
      </c>
      <c r="G228" s="51" t="s">
        <v>3</v>
      </c>
      <c r="H228" s="52">
        <v>2967.37</v>
      </c>
      <c r="I228" s="52">
        <v>2472.81</v>
      </c>
      <c r="J228" s="52">
        <v>1899.1168</v>
      </c>
      <c r="K228" s="52">
        <v>2225.5275000000001</v>
      </c>
      <c r="L228" s="53">
        <v>2967.37</v>
      </c>
      <c r="M228" s="53">
        <v>2472.81</v>
      </c>
      <c r="N228" s="52" t="s">
        <v>4</v>
      </c>
      <c r="O228" s="54">
        <v>1</v>
      </c>
      <c r="P228" s="54">
        <v>1</v>
      </c>
      <c r="Q228" s="54">
        <v>50</v>
      </c>
      <c r="R228" s="46" t="s">
        <v>299</v>
      </c>
      <c r="S228" s="46" t="s">
        <v>606</v>
      </c>
      <c r="T228" s="55" t="s">
        <v>632</v>
      </c>
      <c r="U228" s="55"/>
      <c r="V228" s="51" t="s">
        <v>5</v>
      </c>
      <c r="W228" s="51" t="s">
        <v>8</v>
      </c>
      <c r="X228" s="51"/>
      <c r="Y228" s="56">
        <v>0.24</v>
      </c>
      <c r="Z228" s="57">
        <v>5.7600000000000001E-4</v>
      </c>
      <c r="AA228" s="52" t="s">
        <v>722</v>
      </c>
      <c r="AB228" s="52" t="s">
        <v>722</v>
      </c>
      <c r="AC228" s="56" t="s">
        <v>722</v>
      </c>
    </row>
    <row r="229" spans="1:29" x14ac:dyDescent="0.25">
      <c r="A229" s="46" t="s">
        <v>659</v>
      </c>
      <c r="B229" s="47" t="s">
        <v>660</v>
      </c>
      <c r="C229" s="46" t="s">
        <v>659</v>
      </c>
      <c r="D229" s="48" t="s">
        <v>2</v>
      </c>
      <c r="E229" s="49" t="s">
        <v>2</v>
      </c>
      <c r="F229" s="50" t="s">
        <v>971</v>
      </c>
      <c r="G229" s="51" t="s">
        <v>3</v>
      </c>
      <c r="H229" s="52">
        <v>3684.02</v>
      </c>
      <c r="I229" s="52">
        <v>3070.02</v>
      </c>
      <c r="J229" s="52">
        <v>2357.7727999999997</v>
      </c>
      <c r="K229" s="52">
        <v>2763.0149999999999</v>
      </c>
      <c r="L229" s="53">
        <v>3684.02</v>
      </c>
      <c r="M229" s="53">
        <v>3070.02</v>
      </c>
      <c r="N229" s="52" t="s">
        <v>4</v>
      </c>
      <c r="O229" s="54">
        <v>1</v>
      </c>
      <c r="P229" s="54">
        <v>1</v>
      </c>
      <c r="Q229" s="54">
        <v>40</v>
      </c>
      <c r="R229" s="46" t="s">
        <v>299</v>
      </c>
      <c r="S229" s="46" t="s">
        <v>606</v>
      </c>
      <c r="T229" s="55" t="s">
        <v>632</v>
      </c>
      <c r="U229" s="55"/>
      <c r="V229" s="51" t="s">
        <v>5</v>
      </c>
      <c r="W229" s="51" t="s">
        <v>8</v>
      </c>
      <c r="X229" s="51"/>
      <c r="Y229" s="56">
        <v>0.42</v>
      </c>
      <c r="Z229" s="57">
        <v>9.6000000000000002E-4</v>
      </c>
      <c r="AA229" s="52" t="s">
        <v>722</v>
      </c>
      <c r="AB229" s="52" t="s">
        <v>722</v>
      </c>
      <c r="AC229" s="56" t="s">
        <v>722</v>
      </c>
    </row>
    <row r="230" spans="1:29" x14ac:dyDescent="0.25">
      <c r="A230" s="46" t="s">
        <v>661</v>
      </c>
      <c r="B230" s="47" t="s">
        <v>662</v>
      </c>
      <c r="C230" s="46" t="s">
        <v>661</v>
      </c>
      <c r="D230" s="48" t="s">
        <v>2</v>
      </c>
      <c r="E230" s="49" t="s">
        <v>2</v>
      </c>
      <c r="F230" s="50" t="s">
        <v>971</v>
      </c>
      <c r="G230" s="51" t="s">
        <v>3</v>
      </c>
      <c r="H230" s="52">
        <v>2742.43</v>
      </c>
      <c r="I230" s="52">
        <v>2285.36</v>
      </c>
      <c r="J230" s="52">
        <v>1755.1551999999999</v>
      </c>
      <c r="K230" s="52">
        <v>2056.8224999999998</v>
      </c>
      <c r="L230" s="53">
        <v>2742.43</v>
      </c>
      <c r="M230" s="53">
        <v>2285.36</v>
      </c>
      <c r="N230" s="52" t="s">
        <v>4</v>
      </c>
      <c r="O230" s="54">
        <v>1</v>
      </c>
      <c r="P230" s="54">
        <v>1</v>
      </c>
      <c r="Q230" s="54">
        <v>40</v>
      </c>
      <c r="R230" s="46" t="s">
        <v>299</v>
      </c>
      <c r="S230" s="46" t="s">
        <v>606</v>
      </c>
      <c r="T230" s="55" t="s">
        <v>632</v>
      </c>
      <c r="U230" s="55"/>
      <c r="V230" s="51" t="s">
        <v>5</v>
      </c>
      <c r="W230" s="51" t="s">
        <v>8</v>
      </c>
      <c r="X230" s="51"/>
      <c r="Y230" s="56">
        <v>0.43</v>
      </c>
      <c r="Z230" s="57">
        <v>1.0510000000000001E-3</v>
      </c>
      <c r="AA230" s="52" t="s">
        <v>722</v>
      </c>
      <c r="AB230" s="52" t="s">
        <v>722</v>
      </c>
      <c r="AC230" s="56" t="s">
        <v>722</v>
      </c>
    </row>
    <row r="231" spans="1:29" ht="25.5" x14ac:dyDescent="0.25">
      <c r="A231" s="46" t="s">
        <v>663</v>
      </c>
      <c r="B231" s="47" t="s">
        <v>664</v>
      </c>
      <c r="C231" s="46" t="s">
        <v>663</v>
      </c>
      <c r="D231" s="48" t="s">
        <v>2</v>
      </c>
      <c r="E231" s="49" t="s">
        <v>2</v>
      </c>
      <c r="F231" s="50" t="s">
        <v>971</v>
      </c>
      <c r="G231" s="51" t="s">
        <v>3</v>
      </c>
      <c r="H231" s="52">
        <v>11367.2</v>
      </c>
      <c r="I231" s="52">
        <v>9472.67</v>
      </c>
      <c r="J231" s="52">
        <v>7275.0080000000007</v>
      </c>
      <c r="K231" s="52">
        <v>8525.4000000000015</v>
      </c>
      <c r="L231" s="53">
        <v>11367.2</v>
      </c>
      <c r="M231" s="53">
        <v>9472.67</v>
      </c>
      <c r="N231" s="52" t="s">
        <v>4</v>
      </c>
      <c r="O231" s="54">
        <v>1</v>
      </c>
      <c r="P231" s="54">
        <v>1</v>
      </c>
      <c r="Q231" s="54">
        <v>20</v>
      </c>
      <c r="R231" s="46" t="s">
        <v>299</v>
      </c>
      <c r="S231" s="46" t="s">
        <v>606</v>
      </c>
      <c r="T231" s="55" t="s">
        <v>632</v>
      </c>
      <c r="U231" s="55"/>
      <c r="V231" s="51" t="s">
        <v>5</v>
      </c>
      <c r="W231" s="51" t="s">
        <v>8</v>
      </c>
      <c r="X231" s="51"/>
      <c r="Y231" s="56">
        <v>0.54100000000000004</v>
      </c>
      <c r="Z231" s="57">
        <v>8.3699999999999996E-4</v>
      </c>
      <c r="AA231" s="52" t="s">
        <v>722</v>
      </c>
      <c r="AB231" s="52" t="s">
        <v>722</v>
      </c>
      <c r="AC231" s="56" t="s">
        <v>722</v>
      </c>
    </row>
    <row r="232" spans="1:29" x14ac:dyDescent="0.25">
      <c r="A232" s="46" t="s">
        <v>665</v>
      </c>
      <c r="B232" s="47" t="s">
        <v>666</v>
      </c>
      <c r="C232" s="46" t="s">
        <v>665</v>
      </c>
      <c r="D232" s="48" t="s">
        <v>2</v>
      </c>
      <c r="E232" s="49" t="s">
        <v>2</v>
      </c>
      <c r="F232" s="50" t="s">
        <v>972</v>
      </c>
      <c r="G232" s="51" t="s">
        <v>3</v>
      </c>
      <c r="H232" s="52">
        <v>5070.96</v>
      </c>
      <c r="I232" s="52">
        <v>4225.8</v>
      </c>
      <c r="J232" s="52">
        <v>3245.4144000000001</v>
      </c>
      <c r="K232" s="52">
        <v>3803.2200000000003</v>
      </c>
      <c r="L232" s="53">
        <v>5070.96</v>
      </c>
      <c r="M232" s="53">
        <v>4225.8</v>
      </c>
      <c r="N232" s="52" t="s">
        <v>4</v>
      </c>
      <c r="O232" s="54">
        <v>1</v>
      </c>
      <c r="P232" s="54">
        <v>1</v>
      </c>
      <c r="Q232" s="54">
        <v>100</v>
      </c>
      <c r="R232" s="46" t="s">
        <v>299</v>
      </c>
      <c r="S232" s="46" t="s">
        <v>606</v>
      </c>
      <c r="T232" s="55" t="s">
        <v>667</v>
      </c>
      <c r="U232" s="55"/>
      <c r="V232" s="51" t="s">
        <v>5</v>
      </c>
      <c r="W232" s="51" t="s">
        <v>8</v>
      </c>
      <c r="X232" s="51"/>
      <c r="Y232" s="56">
        <v>6.7000000000000004E-2</v>
      </c>
      <c r="Z232" s="57">
        <v>2.0699999999999999E-4</v>
      </c>
      <c r="AA232" s="52" t="s">
        <v>722</v>
      </c>
      <c r="AB232" s="52" t="s">
        <v>722</v>
      </c>
      <c r="AC232" s="56" t="s">
        <v>722</v>
      </c>
    </row>
    <row r="233" spans="1:29" x14ac:dyDescent="0.25">
      <c r="A233" s="46" t="s">
        <v>668</v>
      </c>
      <c r="B233" s="47" t="s">
        <v>669</v>
      </c>
      <c r="C233" s="46" t="s">
        <v>668</v>
      </c>
      <c r="D233" s="48" t="s">
        <v>2</v>
      </c>
      <c r="E233" s="49" t="s">
        <v>2</v>
      </c>
      <c r="F233" s="50" t="s">
        <v>972</v>
      </c>
      <c r="G233" s="51" t="s">
        <v>3</v>
      </c>
      <c r="H233" s="52">
        <v>892.96</v>
      </c>
      <c r="I233" s="52">
        <v>744.13</v>
      </c>
      <c r="J233" s="52">
        <v>571.49440000000004</v>
      </c>
      <c r="K233" s="52">
        <v>669.72</v>
      </c>
      <c r="L233" s="53">
        <v>892.96</v>
      </c>
      <c r="M233" s="53">
        <v>744.13</v>
      </c>
      <c r="N233" s="52" t="s">
        <v>4</v>
      </c>
      <c r="O233" s="54">
        <v>1</v>
      </c>
      <c r="P233" s="54">
        <v>1</v>
      </c>
      <c r="Q233" s="54">
        <v>200</v>
      </c>
      <c r="R233" s="46" t="s">
        <v>299</v>
      </c>
      <c r="S233" s="46" t="s">
        <v>606</v>
      </c>
      <c r="T233" s="55" t="s">
        <v>667</v>
      </c>
      <c r="U233" s="55"/>
      <c r="V233" s="51" t="s">
        <v>5</v>
      </c>
      <c r="W233" s="51" t="s">
        <v>8</v>
      </c>
      <c r="X233" s="51"/>
      <c r="Y233" s="56">
        <v>5.2999999999999999E-2</v>
      </c>
      <c r="Z233" s="57">
        <v>1.3200000000000001E-4</v>
      </c>
      <c r="AA233" s="52" t="s">
        <v>722</v>
      </c>
      <c r="AB233" s="52" t="s">
        <v>722</v>
      </c>
      <c r="AC233" s="56" t="s">
        <v>722</v>
      </c>
    </row>
    <row r="234" spans="1:29" ht="25.5" x14ac:dyDescent="0.25">
      <c r="A234" s="46" t="s">
        <v>670</v>
      </c>
      <c r="B234" s="47" t="s">
        <v>671</v>
      </c>
      <c r="C234" s="46" t="s">
        <v>670</v>
      </c>
      <c r="D234" s="48" t="s">
        <v>2</v>
      </c>
      <c r="E234" s="49" t="s">
        <v>2</v>
      </c>
      <c r="F234" s="50" t="s">
        <v>972</v>
      </c>
      <c r="G234" s="51" t="s">
        <v>3</v>
      </c>
      <c r="H234" s="52">
        <v>2045.34</v>
      </c>
      <c r="I234" s="52">
        <v>1704.45</v>
      </c>
      <c r="J234" s="52">
        <v>1309.0176000000001</v>
      </c>
      <c r="K234" s="52">
        <v>1534.0049999999999</v>
      </c>
      <c r="L234" s="53">
        <v>2045.34</v>
      </c>
      <c r="M234" s="53">
        <v>1704.45</v>
      </c>
      <c r="N234" s="52" t="s">
        <v>4</v>
      </c>
      <c r="O234" s="54">
        <v>1</v>
      </c>
      <c r="P234" s="54">
        <v>1</v>
      </c>
      <c r="Q234" s="54">
        <v>100</v>
      </c>
      <c r="R234" s="46" t="s">
        <v>299</v>
      </c>
      <c r="S234" s="46" t="s">
        <v>606</v>
      </c>
      <c r="T234" s="55" t="s">
        <v>667</v>
      </c>
      <c r="U234" s="55"/>
      <c r="V234" s="51" t="s">
        <v>5</v>
      </c>
      <c r="W234" s="51" t="s">
        <v>8</v>
      </c>
      <c r="X234" s="51"/>
      <c r="Y234" s="56">
        <v>0.105</v>
      </c>
      <c r="Z234" s="57">
        <v>2.12E-4</v>
      </c>
      <c r="AA234" s="52" t="s">
        <v>722</v>
      </c>
      <c r="AB234" s="52" t="s">
        <v>722</v>
      </c>
      <c r="AC234" s="56" t="s">
        <v>722</v>
      </c>
    </row>
    <row r="235" spans="1:29" ht="25.5" x14ac:dyDescent="0.25">
      <c r="A235" s="46" t="s">
        <v>672</v>
      </c>
      <c r="B235" s="47" t="s">
        <v>673</v>
      </c>
      <c r="C235" s="46" t="s">
        <v>672</v>
      </c>
      <c r="D235" s="48" t="s">
        <v>2</v>
      </c>
      <c r="E235" s="49" t="s">
        <v>2</v>
      </c>
      <c r="F235" s="50" t="s">
        <v>972</v>
      </c>
      <c r="G235" s="51" t="s">
        <v>3</v>
      </c>
      <c r="H235" s="52">
        <v>2844.02</v>
      </c>
      <c r="I235" s="52">
        <v>2370.02</v>
      </c>
      <c r="J235" s="52">
        <v>1820.1727999999998</v>
      </c>
      <c r="K235" s="52">
        <v>2133.0149999999999</v>
      </c>
      <c r="L235" s="53">
        <v>2844.02</v>
      </c>
      <c r="M235" s="53">
        <v>2370.02</v>
      </c>
      <c r="N235" s="52" t="s">
        <v>4</v>
      </c>
      <c r="O235" s="54">
        <v>1</v>
      </c>
      <c r="P235" s="54">
        <v>1</v>
      </c>
      <c r="Q235" s="54">
        <v>100</v>
      </c>
      <c r="R235" s="46" t="s">
        <v>299</v>
      </c>
      <c r="S235" s="46" t="s">
        <v>606</v>
      </c>
      <c r="T235" s="55" t="s">
        <v>667</v>
      </c>
      <c r="U235" s="55"/>
      <c r="V235" s="51" t="s">
        <v>5</v>
      </c>
      <c r="W235" s="51" t="s">
        <v>8</v>
      </c>
      <c r="X235" s="51"/>
      <c r="Y235" s="56">
        <v>9.8000000000000004E-2</v>
      </c>
      <c r="Z235" s="57">
        <v>2.34E-4</v>
      </c>
      <c r="AA235" s="52" t="s">
        <v>722</v>
      </c>
      <c r="AB235" s="52" t="s">
        <v>722</v>
      </c>
      <c r="AC235" s="56" t="s">
        <v>722</v>
      </c>
    </row>
    <row r="236" spans="1:29" x14ac:dyDescent="0.25">
      <c r="A236" s="46" t="s">
        <v>674</v>
      </c>
      <c r="B236" s="47" t="s">
        <v>675</v>
      </c>
      <c r="C236" s="46" t="s">
        <v>674</v>
      </c>
      <c r="D236" s="48" t="s">
        <v>2</v>
      </c>
      <c r="E236" s="49" t="s">
        <v>2</v>
      </c>
      <c r="F236" s="50" t="s">
        <v>972</v>
      </c>
      <c r="G236" s="51" t="s">
        <v>3</v>
      </c>
      <c r="H236" s="52">
        <v>2141.5500000000002</v>
      </c>
      <c r="I236" s="52">
        <v>1784.63</v>
      </c>
      <c r="J236" s="52">
        <v>1370.5920000000001</v>
      </c>
      <c r="K236" s="52">
        <v>1606.1625000000001</v>
      </c>
      <c r="L236" s="53">
        <v>2141.5500000000002</v>
      </c>
      <c r="M236" s="53">
        <v>1784.63</v>
      </c>
      <c r="N236" s="52" t="s">
        <v>4</v>
      </c>
      <c r="O236" s="54">
        <v>1</v>
      </c>
      <c r="P236" s="54">
        <v>1</v>
      </c>
      <c r="Q236" s="54">
        <v>100</v>
      </c>
      <c r="R236" s="46" t="s">
        <v>299</v>
      </c>
      <c r="S236" s="46" t="s">
        <v>606</v>
      </c>
      <c r="T236" s="55" t="s">
        <v>667</v>
      </c>
      <c r="U236" s="55"/>
      <c r="V236" s="51" t="s">
        <v>5</v>
      </c>
      <c r="W236" s="51" t="s">
        <v>8</v>
      </c>
      <c r="X236" s="51"/>
      <c r="Y236" s="56">
        <v>8.7999999999999995E-2</v>
      </c>
      <c r="Z236" s="57">
        <v>2.2499999999999999E-4</v>
      </c>
      <c r="AA236" s="52" t="s">
        <v>722</v>
      </c>
      <c r="AB236" s="52" t="s">
        <v>722</v>
      </c>
      <c r="AC236" s="56" t="s">
        <v>722</v>
      </c>
    </row>
    <row r="237" spans="1:29" x14ac:dyDescent="0.25">
      <c r="A237" s="46" t="s">
        <v>676</v>
      </c>
      <c r="B237" s="47" t="s">
        <v>677</v>
      </c>
      <c r="C237" s="46" t="s">
        <v>676</v>
      </c>
      <c r="D237" s="48" t="s">
        <v>2</v>
      </c>
      <c r="E237" s="49" t="s">
        <v>2</v>
      </c>
      <c r="F237" s="50" t="s">
        <v>972</v>
      </c>
      <c r="G237" s="51" t="s">
        <v>3</v>
      </c>
      <c r="H237" s="52">
        <v>892.96</v>
      </c>
      <c r="I237" s="52">
        <v>744.13</v>
      </c>
      <c r="J237" s="52">
        <v>571.49440000000004</v>
      </c>
      <c r="K237" s="52">
        <v>669.72</v>
      </c>
      <c r="L237" s="53">
        <v>892.96</v>
      </c>
      <c r="M237" s="53">
        <v>744.13</v>
      </c>
      <c r="N237" s="52" t="s">
        <v>4</v>
      </c>
      <c r="O237" s="54">
        <v>1</v>
      </c>
      <c r="P237" s="54">
        <v>1</v>
      </c>
      <c r="Q237" s="54">
        <v>200</v>
      </c>
      <c r="R237" s="46" t="s">
        <v>299</v>
      </c>
      <c r="S237" s="46" t="s">
        <v>606</v>
      </c>
      <c r="T237" s="55" t="s">
        <v>667</v>
      </c>
      <c r="U237" s="55"/>
      <c r="V237" s="51" t="s">
        <v>5</v>
      </c>
      <c r="W237" s="51" t="s">
        <v>8</v>
      </c>
      <c r="X237" s="51"/>
      <c r="Y237" s="56">
        <v>6.0999999999999999E-2</v>
      </c>
      <c r="Z237" s="57">
        <v>1.47E-4</v>
      </c>
      <c r="AA237" s="52" t="s">
        <v>722</v>
      </c>
      <c r="AB237" s="52" t="s">
        <v>722</v>
      </c>
      <c r="AC237" s="56" t="s">
        <v>722</v>
      </c>
    </row>
    <row r="238" spans="1:29" x14ac:dyDescent="0.25">
      <c r="A238" s="46" t="s">
        <v>678</v>
      </c>
      <c r="B238" s="47" t="s">
        <v>679</v>
      </c>
      <c r="C238" s="46" t="s">
        <v>678</v>
      </c>
      <c r="D238" s="48" t="s">
        <v>2</v>
      </c>
      <c r="E238" s="49" t="s">
        <v>2</v>
      </c>
      <c r="F238" s="50" t="s">
        <v>972</v>
      </c>
      <c r="G238" s="51" t="s">
        <v>3</v>
      </c>
      <c r="H238" s="52">
        <v>2629.34</v>
      </c>
      <c r="I238" s="52">
        <v>2191.12</v>
      </c>
      <c r="J238" s="52">
        <v>1682.7776000000001</v>
      </c>
      <c r="K238" s="52">
        <v>1972.0050000000001</v>
      </c>
      <c r="L238" s="53">
        <v>2629.34</v>
      </c>
      <c r="M238" s="53">
        <v>2191.12</v>
      </c>
      <c r="N238" s="52" t="s">
        <v>4</v>
      </c>
      <c r="O238" s="54">
        <v>100</v>
      </c>
      <c r="P238" s="54">
        <v>1</v>
      </c>
      <c r="Q238" s="54">
        <v>100</v>
      </c>
      <c r="R238" s="46" t="s">
        <v>299</v>
      </c>
      <c r="S238" s="46" t="s">
        <v>606</v>
      </c>
      <c r="T238" s="55" t="s">
        <v>667</v>
      </c>
      <c r="U238" s="55"/>
      <c r="V238" s="51" t="s">
        <v>7</v>
      </c>
      <c r="W238" s="51" t="s">
        <v>8</v>
      </c>
      <c r="X238" s="51"/>
      <c r="Y238" s="56">
        <v>0.08</v>
      </c>
      <c r="Z238" s="57">
        <v>2.02E-4</v>
      </c>
      <c r="AA238" s="52" t="s">
        <v>722</v>
      </c>
      <c r="AB238" s="52" t="s">
        <v>722</v>
      </c>
      <c r="AC238" s="56" t="s">
        <v>722</v>
      </c>
    </row>
    <row r="239" spans="1:29" x14ac:dyDescent="0.25">
      <c r="A239" s="450" t="s">
        <v>887</v>
      </c>
      <c r="B239" s="450"/>
      <c r="C239" s="450"/>
      <c r="D239" s="450"/>
      <c r="E239" s="450"/>
      <c r="F239" s="450"/>
      <c r="G239" s="450"/>
      <c r="H239" s="450"/>
      <c r="I239" s="450"/>
      <c r="J239" s="450"/>
      <c r="K239" s="450"/>
      <c r="L239" s="450"/>
      <c r="M239" s="450"/>
      <c r="N239" s="450"/>
      <c r="O239" s="450"/>
      <c r="P239" s="450"/>
      <c r="Q239" s="450"/>
      <c r="R239" s="450"/>
      <c r="S239" s="450"/>
      <c r="T239" s="450"/>
      <c r="U239" s="450"/>
      <c r="V239" s="450"/>
      <c r="W239" s="450"/>
      <c r="X239" s="450"/>
      <c r="Y239" s="450"/>
      <c r="Z239" s="450"/>
      <c r="AA239" s="450"/>
      <c r="AB239" s="450"/>
      <c r="AC239" s="450"/>
    </row>
    <row r="240" spans="1:29" x14ac:dyDescent="0.25">
      <c r="A240" s="33" t="s">
        <v>680</v>
      </c>
      <c r="B240" s="34" t="s">
        <v>681</v>
      </c>
      <c r="C240" s="33" t="s">
        <v>680</v>
      </c>
      <c r="D240" s="35" t="s">
        <v>2</v>
      </c>
      <c r="E240" s="36" t="s">
        <v>2</v>
      </c>
      <c r="F240" s="37" t="s">
        <v>973</v>
      </c>
      <c r="G240" s="38" t="s">
        <v>3</v>
      </c>
      <c r="H240" s="39">
        <v>5861.87</v>
      </c>
      <c r="I240" s="39">
        <v>4884.8900000000003</v>
      </c>
      <c r="J240" s="39">
        <v>3751.5967999999998</v>
      </c>
      <c r="K240" s="39">
        <v>4396.4025000000001</v>
      </c>
      <c r="L240" s="40">
        <v>5861.87</v>
      </c>
      <c r="M240" s="40">
        <v>4884.8900000000003</v>
      </c>
      <c r="N240" s="39" t="s">
        <v>4</v>
      </c>
      <c r="O240" s="41">
        <v>1</v>
      </c>
      <c r="P240" s="41">
        <v>1</v>
      </c>
      <c r="Q240" s="41">
        <v>50</v>
      </c>
      <c r="R240" s="33" t="s">
        <v>299</v>
      </c>
      <c r="S240" s="33" t="s">
        <v>606</v>
      </c>
      <c r="T240" s="42" t="s">
        <v>682</v>
      </c>
      <c r="U240" s="42"/>
      <c r="V240" s="38" t="s">
        <v>5</v>
      </c>
      <c r="W240" s="38" t="s">
        <v>8</v>
      </c>
      <c r="X240" s="58"/>
      <c r="Y240" s="58"/>
      <c r="Z240" s="58"/>
      <c r="AA240" s="58"/>
      <c r="AB240" s="58"/>
      <c r="AC240" s="58"/>
    </row>
    <row r="241" spans="1:29" x14ac:dyDescent="0.25">
      <c r="A241" s="33" t="s">
        <v>683</v>
      </c>
      <c r="B241" s="34" t="s">
        <v>684</v>
      </c>
      <c r="C241" s="33" t="s">
        <v>683</v>
      </c>
      <c r="D241" s="35" t="s">
        <v>2</v>
      </c>
      <c r="E241" s="36" t="s">
        <v>2</v>
      </c>
      <c r="F241" s="37" t="s">
        <v>973</v>
      </c>
      <c r="G241" s="38" t="s">
        <v>3</v>
      </c>
      <c r="H241" s="39">
        <v>6141.01</v>
      </c>
      <c r="I241" s="39">
        <v>5117.51</v>
      </c>
      <c r="J241" s="39">
        <v>3930.2464</v>
      </c>
      <c r="K241" s="39">
        <v>4605.7574999999997</v>
      </c>
      <c r="L241" s="40">
        <v>6141.01</v>
      </c>
      <c r="M241" s="40">
        <v>5117.51</v>
      </c>
      <c r="N241" s="39" t="s">
        <v>4</v>
      </c>
      <c r="O241" s="41">
        <v>1</v>
      </c>
      <c r="P241" s="41">
        <v>1</v>
      </c>
      <c r="Q241" s="41">
        <v>50</v>
      </c>
      <c r="R241" s="33" t="s">
        <v>299</v>
      </c>
      <c r="S241" s="33" t="s">
        <v>606</v>
      </c>
      <c r="T241" s="42" t="s">
        <v>682</v>
      </c>
      <c r="U241" s="42"/>
      <c r="V241" s="38" t="s">
        <v>5</v>
      </c>
      <c r="W241" s="38" t="s">
        <v>8</v>
      </c>
      <c r="X241" s="58"/>
      <c r="Y241" s="58"/>
      <c r="Z241" s="58"/>
      <c r="AA241" s="58"/>
      <c r="AB241" s="58"/>
      <c r="AC241" s="58"/>
    </row>
    <row r="242" spans="1:29" s="1" customFormat="1" ht="24.75" customHeight="1" x14ac:dyDescent="0.25">
      <c r="A242" s="33" t="s">
        <v>888</v>
      </c>
      <c r="B242" s="34" t="s">
        <v>889</v>
      </c>
      <c r="C242" s="33" t="s">
        <v>888</v>
      </c>
      <c r="D242" s="35" t="s">
        <v>2</v>
      </c>
      <c r="E242" s="36" t="s">
        <v>2</v>
      </c>
      <c r="F242" s="37" t="s">
        <v>974</v>
      </c>
      <c r="G242" s="38" t="s">
        <v>3</v>
      </c>
      <c r="H242" s="39">
        <v>1626.24</v>
      </c>
      <c r="I242" s="39">
        <v>1355.2</v>
      </c>
      <c r="J242" s="39">
        <v>1040.7936</v>
      </c>
      <c r="K242" s="39">
        <v>1219.68</v>
      </c>
      <c r="L242" s="40">
        <v>813.12</v>
      </c>
      <c r="M242" s="40">
        <v>677.6</v>
      </c>
      <c r="N242" s="39" t="s">
        <v>4</v>
      </c>
      <c r="O242" s="41">
        <v>1</v>
      </c>
      <c r="P242" s="41">
        <v>1</v>
      </c>
      <c r="Q242" s="41">
        <v>100</v>
      </c>
      <c r="R242" s="33" t="s">
        <v>890</v>
      </c>
      <c r="S242" s="33" t="s">
        <v>891</v>
      </c>
      <c r="T242" s="42" t="s">
        <v>892</v>
      </c>
      <c r="U242" s="42"/>
      <c r="V242" s="38" t="s">
        <v>5</v>
      </c>
      <c r="W242" s="38" t="s">
        <v>10</v>
      </c>
      <c r="X242" s="38"/>
      <c r="Y242" s="43">
        <v>0.17499999999999999</v>
      </c>
      <c r="Z242" s="44">
        <v>1.83E-4</v>
      </c>
      <c r="AA242" s="39" t="s">
        <v>722</v>
      </c>
      <c r="AB242" s="39" t="s">
        <v>722</v>
      </c>
      <c r="AC242" s="43" t="s">
        <v>722</v>
      </c>
    </row>
    <row r="243" spans="1:29" s="1" customFormat="1" ht="24.75" customHeight="1" x14ac:dyDescent="0.25">
      <c r="A243" s="33" t="s">
        <v>893</v>
      </c>
      <c r="B243" s="34" t="s">
        <v>894</v>
      </c>
      <c r="C243" s="33" t="s">
        <v>893</v>
      </c>
      <c r="D243" s="35" t="s">
        <v>2</v>
      </c>
      <c r="E243" s="36" t="s">
        <v>2</v>
      </c>
      <c r="F243" s="37" t="s">
        <v>974</v>
      </c>
      <c r="G243" s="38" t="s">
        <v>3</v>
      </c>
      <c r="H243" s="39">
        <v>1694</v>
      </c>
      <c r="I243" s="39">
        <v>1411.67</v>
      </c>
      <c r="J243" s="39">
        <v>1084.1599999999999</v>
      </c>
      <c r="K243" s="39">
        <v>1270.5</v>
      </c>
      <c r="L243" s="40">
        <v>847</v>
      </c>
      <c r="M243" s="40">
        <v>705.83500000000004</v>
      </c>
      <c r="N243" s="39" t="s">
        <v>4</v>
      </c>
      <c r="O243" s="41">
        <v>1</v>
      </c>
      <c r="P243" s="41">
        <v>1</v>
      </c>
      <c r="Q243" s="41">
        <v>100</v>
      </c>
      <c r="R243" s="33" t="s">
        <v>890</v>
      </c>
      <c r="S243" s="33" t="s">
        <v>891</v>
      </c>
      <c r="T243" s="42" t="s">
        <v>892</v>
      </c>
      <c r="U243" s="42"/>
      <c r="V243" s="38" t="s">
        <v>5</v>
      </c>
      <c r="W243" s="38" t="s">
        <v>10</v>
      </c>
      <c r="X243" s="38"/>
      <c r="Y243" s="43">
        <v>0.192</v>
      </c>
      <c r="Z243" s="44">
        <v>1.9900000000000001E-4</v>
      </c>
      <c r="AA243" s="39" t="s">
        <v>722</v>
      </c>
      <c r="AB243" s="39" t="s">
        <v>722</v>
      </c>
      <c r="AC243" s="43" t="s">
        <v>722</v>
      </c>
    </row>
    <row r="244" spans="1:29" s="1" customFormat="1" ht="24.75" customHeight="1" x14ac:dyDescent="0.25">
      <c r="A244" s="33" t="s">
        <v>895</v>
      </c>
      <c r="B244" s="34" t="s">
        <v>896</v>
      </c>
      <c r="C244" s="33" t="s">
        <v>895</v>
      </c>
      <c r="D244" s="35" t="s">
        <v>2</v>
      </c>
      <c r="E244" s="36" t="s">
        <v>2</v>
      </c>
      <c r="F244" s="37" t="s">
        <v>975</v>
      </c>
      <c r="G244" s="38" t="s">
        <v>3</v>
      </c>
      <c r="H244" s="39">
        <v>2860.13</v>
      </c>
      <c r="I244" s="39">
        <v>2383.44</v>
      </c>
      <c r="J244" s="39">
        <v>1830.4832000000001</v>
      </c>
      <c r="K244" s="39">
        <v>2145.0974999999999</v>
      </c>
      <c r="L244" s="40">
        <v>1430.0650000000001</v>
      </c>
      <c r="M244" s="40">
        <v>1191.72</v>
      </c>
      <c r="N244" s="39" t="s">
        <v>4</v>
      </c>
      <c r="O244" s="41">
        <v>1</v>
      </c>
      <c r="P244" s="41">
        <v>1</v>
      </c>
      <c r="Q244" s="41">
        <v>50</v>
      </c>
      <c r="R244" s="33" t="s">
        <v>890</v>
      </c>
      <c r="S244" s="33" t="s">
        <v>891</v>
      </c>
      <c r="T244" s="42" t="s">
        <v>897</v>
      </c>
      <c r="U244" s="42"/>
      <c r="V244" s="38" t="s">
        <v>5</v>
      </c>
      <c r="W244" s="38" t="s">
        <v>10</v>
      </c>
      <c r="X244" s="38"/>
      <c r="Y244" s="43">
        <v>0.307</v>
      </c>
      <c r="Z244" s="44">
        <v>5.4600000000000004E-4</v>
      </c>
      <c r="AA244" s="39" t="s">
        <v>722</v>
      </c>
      <c r="AB244" s="39" t="s">
        <v>722</v>
      </c>
      <c r="AC244" s="43" t="s">
        <v>722</v>
      </c>
    </row>
    <row r="245" spans="1:29" s="1" customFormat="1" ht="24.75" customHeight="1" x14ac:dyDescent="0.25">
      <c r="A245" s="33" t="s">
        <v>898</v>
      </c>
      <c r="B245" s="34" t="s">
        <v>899</v>
      </c>
      <c r="C245" s="33" t="s">
        <v>898</v>
      </c>
      <c r="D245" s="35" t="s">
        <v>2</v>
      </c>
      <c r="E245" s="36" t="s">
        <v>2</v>
      </c>
      <c r="F245" s="37" t="s">
        <v>975</v>
      </c>
      <c r="G245" s="38" t="s">
        <v>3</v>
      </c>
      <c r="H245" s="39">
        <v>2860.13</v>
      </c>
      <c r="I245" s="39">
        <v>2383.44</v>
      </c>
      <c r="J245" s="39">
        <v>1830.4832000000001</v>
      </c>
      <c r="K245" s="39">
        <v>2145.0974999999999</v>
      </c>
      <c r="L245" s="40">
        <v>1430.0650000000001</v>
      </c>
      <c r="M245" s="40">
        <v>1191.72</v>
      </c>
      <c r="N245" s="39" t="s">
        <v>4</v>
      </c>
      <c r="O245" s="41">
        <v>1</v>
      </c>
      <c r="P245" s="41">
        <v>1</v>
      </c>
      <c r="Q245" s="41">
        <v>50</v>
      </c>
      <c r="R245" s="33" t="s">
        <v>890</v>
      </c>
      <c r="S245" s="33" t="s">
        <v>891</v>
      </c>
      <c r="T245" s="42" t="s">
        <v>897</v>
      </c>
      <c r="U245" s="42"/>
      <c r="V245" s="38" t="s">
        <v>5</v>
      </c>
      <c r="W245" s="38" t="s">
        <v>10</v>
      </c>
      <c r="X245" s="38"/>
      <c r="Y245" s="43">
        <v>0.28199999999999997</v>
      </c>
      <c r="Z245" s="44">
        <v>5.3300000000000005E-4</v>
      </c>
      <c r="AA245" s="39" t="s">
        <v>722</v>
      </c>
      <c r="AB245" s="39" t="s">
        <v>722</v>
      </c>
      <c r="AC245" s="43" t="s">
        <v>722</v>
      </c>
    </row>
    <row r="246" spans="1:29" x14ac:dyDescent="0.25">
      <c r="A246" s="446" t="s">
        <v>900</v>
      </c>
      <c r="B246" s="446"/>
      <c r="C246" s="446"/>
      <c r="D246" s="446"/>
      <c r="E246" s="446"/>
      <c r="F246" s="446"/>
      <c r="G246" s="446"/>
      <c r="H246" s="446"/>
      <c r="I246" s="446"/>
      <c r="J246" s="446"/>
      <c r="K246" s="446"/>
      <c r="L246" s="446"/>
      <c r="M246" s="446"/>
      <c r="N246" s="446"/>
      <c r="O246" s="446"/>
      <c r="P246" s="446"/>
      <c r="Q246" s="446"/>
      <c r="R246" s="446"/>
      <c r="S246" s="446"/>
      <c r="T246" s="446"/>
      <c r="U246" s="446"/>
      <c r="V246" s="446"/>
      <c r="W246" s="446"/>
      <c r="X246" s="446"/>
      <c r="Y246" s="446"/>
      <c r="Z246" s="446"/>
      <c r="AA246" s="446"/>
      <c r="AB246" s="446"/>
      <c r="AC246" s="446"/>
    </row>
    <row r="247" spans="1:29" x14ac:dyDescent="0.25">
      <c r="A247" s="59" t="s">
        <v>586</v>
      </c>
      <c r="B247" s="60" t="s">
        <v>587</v>
      </c>
      <c r="C247" s="59" t="s">
        <v>586</v>
      </c>
      <c r="D247" s="61" t="s">
        <v>2</v>
      </c>
      <c r="E247" s="62" t="s">
        <v>2</v>
      </c>
      <c r="F247" s="63" t="s">
        <v>967</v>
      </c>
      <c r="G247" s="64" t="s">
        <v>11</v>
      </c>
      <c r="H247" s="65">
        <v>437.27</v>
      </c>
      <c r="I247" s="65">
        <v>364.39</v>
      </c>
      <c r="J247" s="65">
        <v>279.8528</v>
      </c>
      <c r="K247" s="65">
        <v>327.95249999999999</v>
      </c>
      <c r="L247" s="66">
        <v>437.27</v>
      </c>
      <c r="M247" s="66">
        <v>364.39</v>
      </c>
      <c r="N247" s="65" t="s">
        <v>4</v>
      </c>
      <c r="O247" s="67">
        <v>1</v>
      </c>
      <c r="P247" s="67">
        <v>1</v>
      </c>
      <c r="Q247" s="67">
        <v>200</v>
      </c>
      <c r="R247" s="59" t="s">
        <v>299</v>
      </c>
      <c r="S247" s="59" t="s">
        <v>588</v>
      </c>
      <c r="T247" s="68" t="s">
        <v>589</v>
      </c>
      <c r="U247" s="68"/>
      <c r="V247" s="64" t="s">
        <v>5</v>
      </c>
      <c r="W247" s="64" t="s">
        <v>8</v>
      </c>
      <c r="X247" s="64"/>
      <c r="Y247" s="69">
        <v>7.3999999999999996E-2</v>
      </c>
      <c r="Z247" s="70">
        <v>2.3699999999999999E-4</v>
      </c>
      <c r="AA247" s="65" t="s">
        <v>722</v>
      </c>
      <c r="AB247" s="65" t="s">
        <v>722</v>
      </c>
      <c r="AC247" s="69" t="s">
        <v>722</v>
      </c>
    </row>
    <row r="248" spans="1:29" x14ac:dyDescent="0.25">
      <c r="A248" s="59" t="s">
        <v>590</v>
      </c>
      <c r="B248" s="60" t="s">
        <v>591</v>
      </c>
      <c r="C248" s="59" t="s">
        <v>590</v>
      </c>
      <c r="D248" s="61" t="s">
        <v>2</v>
      </c>
      <c r="E248" s="62" t="s">
        <v>2</v>
      </c>
      <c r="F248" s="63" t="s">
        <v>967</v>
      </c>
      <c r="G248" s="64" t="s">
        <v>11</v>
      </c>
      <c r="H248" s="65">
        <v>416.45</v>
      </c>
      <c r="I248" s="65">
        <v>347.04</v>
      </c>
      <c r="J248" s="65">
        <v>266.52800000000002</v>
      </c>
      <c r="K248" s="65">
        <v>312.33749999999998</v>
      </c>
      <c r="L248" s="66">
        <v>416.45</v>
      </c>
      <c r="M248" s="66">
        <v>347.04</v>
      </c>
      <c r="N248" s="65" t="s">
        <v>4</v>
      </c>
      <c r="O248" s="67">
        <v>1</v>
      </c>
      <c r="P248" s="67">
        <v>1</v>
      </c>
      <c r="Q248" s="67">
        <v>200</v>
      </c>
      <c r="R248" s="59" t="s">
        <v>299</v>
      </c>
      <c r="S248" s="59" t="s">
        <v>588</v>
      </c>
      <c r="T248" s="68" t="s">
        <v>589</v>
      </c>
      <c r="U248" s="68"/>
      <c r="V248" s="64" t="s">
        <v>5</v>
      </c>
      <c r="W248" s="64" t="s">
        <v>8</v>
      </c>
      <c r="X248" s="64"/>
      <c r="Y248" s="69">
        <v>0.08</v>
      </c>
      <c r="Z248" s="70">
        <v>3.1160999999999998E-4</v>
      </c>
      <c r="AA248" s="65" t="s">
        <v>722</v>
      </c>
      <c r="AB248" s="65" t="s">
        <v>722</v>
      </c>
      <c r="AC248" s="69" t="s">
        <v>722</v>
      </c>
    </row>
    <row r="249" spans="1:29" x14ac:dyDescent="0.25">
      <c r="A249" s="59" t="s">
        <v>592</v>
      </c>
      <c r="B249" s="60" t="s">
        <v>593</v>
      </c>
      <c r="C249" s="59" t="s">
        <v>592</v>
      </c>
      <c r="D249" s="61" t="s">
        <v>2</v>
      </c>
      <c r="E249" s="62" t="s">
        <v>2</v>
      </c>
      <c r="F249" s="63" t="s">
        <v>967</v>
      </c>
      <c r="G249" s="64" t="s">
        <v>11</v>
      </c>
      <c r="H249" s="65">
        <v>648.75</v>
      </c>
      <c r="I249" s="65">
        <v>540.63</v>
      </c>
      <c r="J249" s="65">
        <v>415.2</v>
      </c>
      <c r="K249" s="65">
        <v>486.5625</v>
      </c>
      <c r="L249" s="66">
        <v>648.75</v>
      </c>
      <c r="M249" s="66">
        <v>540.63</v>
      </c>
      <c r="N249" s="65" t="s">
        <v>4</v>
      </c>
      <c r="O249" s="67">
        <v>1</v>
      </c>
      <c r="P249" s="67">
        <v>1</v>
      </c>
      <c r="Q249" s="67">
        <v>100</v>
      </c>
      <c r="R249" s="59" t="s">
        <v>299</v>
      </c>
      <c r="S249" s="59" t="s">
        <v>588</v>
      </c>
      <c r="T249" s="68" t="s">
        <v>589</v>
      </c>
      <c r="U249" s="68"/>
      <c r="V249" s="64" t="s">
        <v>5</v>
      </c>
      <c r="W249" s="64" t="s">
        <v>8</v>
      </c>
      <c r="X249" s="64"/>
      <c r="Y249" s="69">
        <v>0.38</v>
      </c>
      <c r="Z249" s="70">
        <v>8.0000000000000004E-4</v>
      </c>
      <c r="AA249" s="65" t="s">
        <v>722</v>
      </c>
      <c r="AB249" s="65" t="s">
        <v>722</v>
      </c>
      <c r="AC249" s="69" t="s">
        <v>722</v>
      </c>
    </row>
    <row r="250" spans="1:29" x14ac:dyDescent="0.25">
      <c r="A250" s="59" t="s">
        <v>594</v>
      </c>
      <c r="B250" s="60" t="s">
        <v>595</v>
      </c>
      <c r="C250" s="59" t="s">
        <v>594</v>
      </c>
      <c r="D250" s="61" t="s">
        <v>2</v>
      </c>
      <c r="E250" s="62" t="s">
        <v>2</v>
      </c>
      <c r="F250" s="63" t="s">
        <v>967</v>
      </c>
      <c r="G250" s="64" t="s">
        <v>11</v>
      </c>
      <c r="H250" s="65">
        <v>617.86</v>
      </c>
      <c r="I250" s="65">
        <v>514.88</v>
      </c>
      <c r="J250" s="65">
        <v>395.43040000000002</v>
      </c>
      <c r="K250" s="65">
        <v>463.39499999999998</v>
      </c>
      <c r="L250" s="66">
        <v>617.86</v>
      </c>
      <c r="M250" s="66">
        <v>514.88</v>
      </c>
      <c r="N250" s="65" t="s">
        <v>4</v>
      </c>
      <c r="O250" s="67">
        <v>1</v>
      </c>
      <c r="P250" s="67">
        <v>1</v>
      </c>
      <c r="Q250" s="67">
        <v>100</v>
      </c>
      <c r="R250" s="59" t="s">
        <v>299</v>
      </c>
      <c r="S250" s="59" t="s">
        <v>588</v>
      </c>
      <c r="T250" s="68" t="s">
        <v>589</v>
      </c>
      <c r="U250" s="68"/>
      <c r="V250" s="64" t="s">
        <v>5</v>
      </c>
      <c r="W250" s="64" t="s">
        <v>8</v>
      </c>
      <c r="X250" s="64"/>
      <c r="Y250" s="69">
        <v>0.13300000000000001</v>
      </c>
      <c r="Z250" s="70">
        <v>3.6699999999999998E-4</v>
      </c>
      <c r="AA250" s="65" t="s">
        <v>722</v>
      </c>
      <c r="AB250" s="65" t="s">
        <v>722</v>
      </c>
      <c r="AC250" s="69" t="s">
        <v>722</v>
      </c>
    </row>
    <row r="251" spans="1:29" x14ac:dyDescent="0.25">
      <c r="A251" s="59" t="s">
        <v>596</v>
      </c>
      <c r="B251" s="60" t="s">
        <v>597</v>
      </c>
      <c r="C251" s="59" t="s">
        <v>596</v>
      </c>
      <c r="D251" s="61" t="s">
        <v>2</v>
      </c>
      <c r="E251" s="62" t="s">
        <v>2</v>
      </c>
      <c r="F251" s="63" t="s">
        <v>967</v>
      </c>
      <c r="G251" s="64" t="s">
        <v>11</v>
      </c>
      <c r="H251" s="65">
        <v>814.1</v>
      </c>
      <c r="I251" s="65">
        <v>678.42</v>
      </c>
      <c r="J251" s="65">
        <v>521.024</v>
      </c>
      <c r="K251" s="65">
        <v>610.57500000000005</v>
      </c>
      <c r="L251" s="66">
        <v>814.1</v>
      </c>
      <c r="M251" s="66">
        <v>678.42</v>
      </c>
      <c r="N251" s="65" t="s">
        <v>4</v>
      </c>
      <c r="O251" s="67">
        <v>1</v>
      </c>
      <c r="P251" s="67">
        <v>1</v>
      </c>
      <c r="Q251" s="67">
        <v>100</v>
      </c>
      <c r="R251" s="59" t="s">
        <v>299</v>
      </c>
      <c r="S251" s="59" t="s">
        <v>588</v>
      </c>
      <c r="T251" s="68" t="s">
        <v>589</v>
      </c>
      <c r="U251" s="68"/>
      <c r="V251" s="64" t="s">
        <v>5</v>
      </c>
      <c r="W251" s="64" t="s">
        <v>8</v>
      </c>
      <c r="X251" s="64"/>
      <c r="Y251" s="69">
        <v>0.185</v>
      </c>
      <c r="Z251" s="70">
        <v>1.41E-3</v>
      </c>
      <c r="AA251" s="65" t="s">
        <v>722</v>
      </c>
      <c r="AB251" s="65" t="s">
        <v>722</v>
      </c>
      <c r="AC251" s="69" t="s">
        <v>722</v>
      </c>
    </row>
    <row r="252" spans="1:29" x14ac:dyDescent="0.25">
      <c r="A252" s="59" t="s">
        <v>598</v>
      </c>
      <c r="B252" s="60" t="s">
        <v>599</v>
      </c>
      <c r="C252" s="59" t="s">
        <v>598</v>
      </c>
      <c r="D252" s="61" t="s">
        <v>2</v>
      </c>
      <c r="E252" s="62" t="s">
        <v>2</v>
      </c>
      <c r="F252" s="63" t="s">
        <v>967</v>
      </c>
      <c r="G252" s="64" t="s">
        <v>11</v>
      </c>
      <c r="H252" s="65">
        <v>775.35</v>
      </c>
      <c r="I252" s="65">
        <v>646.13</v>
      </c>
      <c r="J252" s="65">
        <v>496.22399999999999</v>
      </c>
      <c r="K252" s="65">
        <v>581.51250000000005</v>
      </c>
      <c r="L252" s="66">
        <v>775.35</v>
      </c>
      <c r="M252" s="66">
        <v>646.13</v>
      </c>
      <c r="N252" s="65" t="s">
        <v>4</v>
      </c>
      <c r="O252" s="67">
        <v>1</v>
      </c>
      <c r="P252" s="67">
        <v>1</v>
      </c>
      <c r="Q252" s="67">
        <v>100</v>
      </c>
      <c r="R252" s="59" t="s">
        <v>299</v>
      </c>
      <c r="S252" s="59" t="s">
        <v>588</v>
      </c>
      <c r="T252" s="68" t="s">
        <v>589</v>
      </c>
      <c r="U252" s="68"/>
      <c r="V252" s="64" t="s">
        <v>5</v>
      </c>
      <c r="W252" s="64" t="s">
        <v>8</v>
      </c>
      <c r="X252" s="64"/>
      <c r="Y252" s="69">
        <v>0.19400000000000001</v>
      </c>
      <c r="Z252" s="70">
        <v>4.1199999999999999E-4</v>
      </c>
      <c r="AA252" s="65" t="s">
        <v>722</v>
      </c>
      <c r="AB252" s="65" t="s">
        <v>722</v>
      </c>
      <c r="AC252" s="69" t="s">
        <v>722</v>
      </c>
    </row>
    <row r="253" spans="1:29" x14ac:dyDescent="0.25">
      <c r="A253" s="59" t="s">
        <v>600</v>
      </c>
      <c r="B253" s="60" t="s">
        <v>601</v>
      </c>
      <c r="C253" s="59" t="s">
        <v>600</v>
      </c>
      <c r="D253" s="61" t="s">
        <v>2</v>
      </c>
      <c r="E253" s="62" t="s">
        <v>2</v>
      </c>
      <c r="F253" s="63" t="s">
        <v>967</v>
      </c>
      <c r="G253" s="64" t="s">
        <v>11</v>
      </c>
      <c r="H253" s="65">
        <v>1352.8</v>
      </c>
      <c r="I253" s="65">
        <v>1127.33</v>
      </c>
      <c r="J253" s="65">
        <v>865.79199999999992</v>
      </c>
      <c r="K253" s="65">
        <v>1014.5999999999999</v>
      </c>
      <c r="L253" s="66">
        <v>1352.8</v>
      </c>
      <c r="M253" s="66">
        <v>1127.33</v>
      </c>
      <c r="N253" s="65" t="s">
        <v>4</v>
      </c>
      <c r="O253" s="67">
        <v>1</v>
      </c>
      <c r="P253" s="67">
        <v>1</v>
      </c>
      <c r="Q253" s="67">
        <v>50</v>
      </c>
      <c r="R253" s="59" t="s">
        <v>299</v>
      </c>
      <c r="S253" s="59" t="s">
        <v>588</v>
      </c>
      <c r="T253" s="68" t="s">
        <v>589</v>
      </c>
      <c r="U253" s="68"/>
      <c r="V253" s="64" t="s">
        <v>5</v>
      </c>
      <c r="W253" s="64" t="s">
        <v>8</v>
      </c>
      <c r="X253" s="64"/>
      <c r="Y253" s="69">
        <v>0.35699999999999998</v>
      </c>
      <c r="Z253" s="70">
        <v>2.3340000000000001E-3</v>
      </c>
      <c r="AA253" s="65" t="s">
        <v>722</v>
      </c>
      <c r="AB253" s="65" t="s">
        <v>722</v>
      </c>
      <c r="AC253" s="69" t="s">
        <v>722</v>
      </c>
    </row>
    <row r="254" spans="1:29" x14ac:dyDescent="0.25">
      <c r="A254" s="59" t="s">
        <v>602</v>
      </c>
      <c r="B254" s="60" t="s">
        <v>603</v>
      </c>
      <c r="C254" s="59" t="s">
        <v>602</v>
      </c>
      <c r="D254" s="61" t="s">
        <v>2</v>
      </c>
      <c r="E254" s="62" t="s">
        <v>2</v>
      </c>
      <c r="F254" s="63" t="s">
        <v>967</v>
      </c>
      <c r="G254" s="64" t="s">
        <v>11</v>
      </c>
      <c r="H254" s="65">
        <v>1321.33</v>
      </c>
      <c r="I254" s="65">
        <v>1101.1099999999999</v>
      </c>
      <c r="J254" s="65">
        <v>845.65120000000002</v>
      </c>
      <c r="K254" s="65">
        <v>990.99749999999995</v>
      </c>
      <c r="L254" s="66">
        <v>1321.33</v>
      </c>
      <c r="M254" s="66">
        <v>1101.1099999999999</v>
      </c>
      <c r="N254" s="65" t="s">
        <v>4</v>
      </c>
      <c r="O254" s="67">
        <v>50</v>
      </c>
      <c r="P254" s="67">
        <v>1</v>
      </c>
      <c r="Q254" s="67">
        <v>50</v>
      </c>
      <c r="R254" s="59" t="s">
        <v>299</v>
      </c>
      <c r="S254" s="59" t="s">
        <v>588</v>
      </c>
      <c r="T254" s="68" t="s">
        <v>589</v>
      </c>
      <c r="U254" s="68"/>
      <c r="V254" s="64" t="s">
        <v>7</v>
      </c>
      <c r="W254" s="64" t="s">
        <v>8</v>
      </c>
      <c r="X254" s="64"/>
      <c r="Y254" s="69">
        <v>0.38</v>
      </c>
      <c r="Z254" s="70">
        <v>1.5146999999999999E-3</v>
      </c>
      <c r="AA254" s="65" t="s">
        <v>722</v>
      </c>
      <c r="AB254" s="65" t="s">
        <v>722</v>
      </c>
      <c r="AC254" s="69" t="s">
        <v>722</v>
      </c>
    </row>
    <row r="255" spans="1:29" x14ac:dyDescent="0.25">
      <c r="A255" s="445" t="s">
        <v>901</v>
      </c>
      <c r="B255" s="445"/>
      <c r="C255" s="445"/>
      <c r="D255" s="445"/>
      <c r="E255" s="445"/>
      <c r="F255" s="445"/>
      <c r="G255" s="445"/>
      <c r="H255" s="445"/>
      <c r="I255" s="445"/>
      <c r="J255" s="445"/>
      <c r="K255" s="445"/>
      <c r="L255" s="445"/>
      <c r="M255" s="445"/>
      <c r="N255" s="445"/>
      <c r="O255" s="445"/>
      <c r="P255" s="445"/>
      <c r="Q255" s="445"/>
      <c r="R255" s="445"/>
      <c r="S255" s="445"/>
      <c r="T255" s="445"/>
      <c r="U255" s="445"/>
      <c r="V255" s="445"/>
      <c r="W255" s="445"/>
      <c r="X255" s="445"/>
      <c r="Y255" s="445"/>
      <c r="Z255" s="445"/>
      <c r="AA255" s="445"/>
      <c r="AB255" s="445"/>
      <c r="AC255" s="445"/>
    </row>
    <row r="256" spans="1:29" x14ac:dyDescent="0.25">
      <c r="A256" s="71" t="s">
        <v>570</v>
      </c>
      <c r="B256" s="72" t="s">
        <v>571</v>
      </c>
      <c r="C256" s="71" t="s">
        <v>570</v>
      </c>
      <c r="D256" s="73" t="s">
        <v>2</v>
      </c>
      <c r="E256" s="74" t="s">
        <v>2</v>
      </c>
      <c r="F256" s="75" t="s">
        <v>967</v>
      </c>
      <c r="G256" s="76" t="s">
        <v>11</v>
      </c>
      <c r="H256" s="77">
        <v>298.05</v>
      </c>
      <c r="I256" s="77">
        <v>248.38</v>
      </c>
      <c r="J256" s="77">
        <v>190.75200000000001</v>
      </c>
      <c r="K256" s="77">
        <v>223.53750000000002</v>
      </c>
      <c r="L256" s="78">
        <v>298.05</v>
      </c>
      <c r="M256" s="78">
        <v>248.38</v>
      </c>
      <c r="N256" s="77" t="s">
        <v>4</v>
      </c>
      <c r="O256" s="79">
        <v>1</v>
      </c>
      <c r="P256" s="79">
        <v>1</v>
      </c>
      <c r="Q256" s="79">
        <v>100</v>
      </c>
      <c r="R256" s="71" t="s">
        <v>299</v>
      </c>
      <c r="S256" s="71" t="s">
        <v>572</v>
      </c>
      <c r="T256" s="80"/>
      <c r="U256" s="80"/>
      <c r="V256" s="76" t="s">
        <v>5</v>
      </c>
      <c r="W256" s="76" t="s">
        <v>573</v>
      </c>
      <c r="X256" s="76"/>
      <c r="Y256" s="81">
        <v>9.0999999999999998E-2</v>
      </c>
      <c r="Z256" s="82">
        <v>1.0889999999999999E-3</v>
      </c>
      <c r="AA256" s="77" t="s">
        <v>722</v>
      </c>
      <c r="AB256" s="77" t="s">
        <v>722</v>
      </c>
      <c r="AC256" s="81" t="s">
        <v>722</v>
      </c>
    </row>
    <row r="257" spans="1:29" x14ac:dyDescent="0.25">
      <c r="A257" s="71" t="s">
        <v>574</v>
      </c>
      <c r="B257" s="72" t="s">
        <v>575</v>
      </c>
      <c r="C257" s="71" t="s">
        <v>574</v>
      </c>
      <c r="D257" s="73" t="s">
        <v>2</v>
      </c>
      <c r="E257" s="74" t="s">
        <v>2</v>
      </c>
      <c r="F257" s="75" t="s">
        <v>967</v>
      </c>
      <c r="G257" s="76" t="s">
        <v>11</v>
      </c>
      <c r="H257" s="77">
        <v>386.49</v>
      </c>
      <c r="I257" s="77">
        <v>322.08</v>
      </c>
      <c r="J257" s="77">
        <v>247.35360000000003</v>
      </c>
      <c r="K257" s="77">
        <v>289.86750000000001</v>
      </c>
      <c r="L257" s="78">
        <v>386.49</v>
      </c>
      <c r="M257" s="78">
        <v>322.08</v>
      </c>
      <c r="N257" s="77" t="s">
        <v>4</v>
      </c>
      <c r="O257" s="79">
        <v>1</v>
      </c>
      <c r="P257" s="79">
        <v>1</v>
      </c>
      <c r="Q257" s="79">
        <v>80</v>
      </c>
      <c r="R257" s="71" t="s">
        <v>299</v>
      </c>
      <c r="S257" s="71" t="s">
        <v>572</v>
      </c>
      <c r="T257" s="80"/>
      <c r="U257" s="80"/>
      <c r="V257" s="76" t="s">
        <v>5</v>
      </c>
      <c r="W257" s="76" t="s">
        <v>573</v>
      </c>
      <c r="X257" s="76"/>
      <c r="Y257" s="81">
        <v>0.123</v>
      </c>
      <c r="Z257" s="82">
        <v>1.2340000000000001E-3</v>
      </c>
      <c r="AA257" s="77" t="s">
        <v>722</v>
      </c>
      <c r="AB257" s="77" t="s">
        <v>722</v>
      </c>
      <c r="AC257" s="81" t="s">
        <v>722</v>
      </c>
    </row>
    <row r="258" spans="1:29" x14ac:dyDescent="0.25">
      <c r="A258" s="71" t="s">
        <v>576</v>
      </c>
      <c r="B258" s="72" t="s">
        <v>577</v>
      </c>
      <c r="C258" s="71" t="s">
        <v>576</v>
      </c>
      <c r="D258" s="73" t="s">
        <v>2</v>
      </c>
      <c r="E258" s="74" t="s">
        <v>2</v>
      </c>
      <c r="F258" s="75" t="s">
        <v>967</v>
      </c>
      <c r="G258" s="76" t="s">
        <v>11</v>
      </c>
      <c r="H258" s="77">
        <v>532.24</v>
      </c>
      <c r="I258" s="77">
        <v>443.53</v>
      </c>
      <c r="J258" s="77">
        <v>340.6336</v>
      </c>
      <c r="K258" s="77">
        <v>399.18</v>
      </c>
      <c r="L258" s="78">
        <v>532.24</v>
      </c>
      <c r="M258" s="78">
        <v>443.53</v>
      </c>
      <c r="N258" s="77" t="s">
        <v>4</v>
      </c>
      <c r="O258" s="79">
        <v>1</v>
      </c>
      <c r="P258" s="79">
        <v>1</v>
      </c>
      <c r="Q258" s="79">
        <v>50</v>
      </c>
      <c r="R258" s="71" t="s">
        <v>299</v>
      </c>
      <c r="S258" s="71" t="s">
        <v>572</v>
      </c>
      <c r="T258" s="80"/>
      <c r="U258" s="80"/>
      <c r="V258" s="76" t="s">
        <v>5</v>
      </c>
      <c r="W258" s="76" t="s">
        <v>573</v>
      </c>
      <c r="X258" s="76"/>
      <c r="Y258" s="81">
        <v>0.16200000000000001</v>
      </c>
      <c r="Z258" s="82">
        <v>2.7620000000000001E-3</v>
      </c>
      <c r="AA258" s="77" t="s">
        <v>722</v>
      </c>
      <c r="AB258" s="77" t="s">
        <v>722</v>
      </c>
      <c r="AC258" s="81" t="s">
        <v>722</v>
      </c>
    </row>
    <row r="259" spans="1:29" x14ac:dyDescent="0.25">
      <c r="A259" s="71" t="s">
        <v>578</v>
      </c>
      <c r="B259" s="72" t="s">
        <v>579</v>
      </c>
      <c r="C259" s="71" t="s">
        <v>578</v>
      </c>
      <c r="D259" s="73" t="s">
        <v>2</v>
      </c>
      <c r="E259" s="74" t="s">
        <v>2</v>
      </c>
      <c r="F259" s="75" t="s">
        <v>967</v>
      </c>
      <c r="G259" s="76" t="s">
        <v>11</v>
      </c>
      <c r="H259" s="77">
        <v>723.82</v>
      </c>
      <c r="I259" s="77">
        <v>603.17999999999995</v>
      </c>
      <c r="J259" s="77">
        <v>463.24480000000005</v>
      </c>
      <c r="K259" s="77">
        <v>542.86500000000001</v>
      </c>
      <c r="L259" s="78">
        <v>723.82</v>
      </c>
      <c r="M259" s="78">
        <v>603.17999999999995</v>
      </c>
      <c r="N259" s="77" t="s">
        <v>4</v>
      </c>
      <c r="O259" s="79">
        <v>1</v>
      </c>
      <c r="P259" s="79">
        <v>1</v>
      </c>
      <c r="Q259" s="79">
        <v>40</v>
      </c>
      <c r="R259" s="71" t="s">
        <v>299</v>
      </c>
      <c r="S259" s="71" t="s">
        <v>572</v>
      </c>
      <c r="T259" s="80"/>
      <c r="U259" s="80"/>
      <c r="V259" s="76" t="s">
        <v>5</v>
      </c>
      <c r="W259" s="76" t="s">
        <v>573</v>
      </c>
      <c r="X259" s="76"/>
      <c r="Y259" s="81">
        <v>0.20499999999999999</v>
      </c>
      <c r="Z259" s="82">
        <v>3.735E-3</v>
      </c>
      <c r="AA259" s="77" t="s">
        <v>722</v>
      </c>
      <c r="AB259" s="77" t="s">
        <v>722</v>
      </c>
      <c r="AC259" s="81" t="s">
        <v>722</v>
      </c>
    </row>
    <row r="260" spans="1:29" x14ac:dyDescent="0.25">
      <c r="A260" s="71" t="s">
        <v>580</v>
      </c>
      <c r="B260" s="72" t="s">
        <v>581</v>
      </c>
      <c r="C260" s="71" t="s">
        <v>580</v>
      </c>
      <c r="D260" s="73" t="s">
        <v>2</v>
      </c>
      <c r="E260" s="74" t="s">
        <v>2</v>
      </c>
      <c r="F260" s="75" t="s">
        <v>967</v>
      </c>
      <c r="G260" s="76" t="s">
        <v>11</v>
      </c>
      <c r="H260" s="77">
        <v>1016.94</v>
      </c>
      <c r="I260" s="77">
        <v>847.45</v>
      </c>
      <c r="J260" s="77">
        <v>650.84159999999997</v>
      </c>
      <c r="K260" s="77">
        <v>762.70500000000004</v>
      </c>
      <c r="L260" s="78">
        <v>1016.94</v>
      </c>
      <c r="M260" s="78">
        <v>847.45</v>
      </c>
      <c r="N260" s="77" t="s">
        <v>4</v>
      </c>
      <c r="O260" s="79">
        <v>1</v>
      </c>
      <c r="P260" s="79">
        <v>1</v>
      </c>
      <c r="Q260" s="79">
        <v>25</v>
      </c>
      <c r="R260" s="71" t="s">
        <v>299</v>
      </c>
      <c r="S260" s="71" t="s">
        <v>572</v>
      </c>
      <c r="T260" s="80"/>
      <c r="U260" s="80"/>
      <c r="V260" s="76" t="s">
        <v>5</v>
      </c>
      <c r="W260" s="76" t="s">
        <v>573</v>
      </c>
      <c r="X260" s="76"/>
      <c r="Y260" s="81">
        <v>0.251</v>
      </c>
      <c r="Z260" s="82">
        <v>6.0039999999999998E-3</v>
      </c>
      <c r="AA260" s="77" t="s">
        <v>722</v>
      </c>
      <c r="AB260" s="77" t="s">
        <v>722</v>
      </c>
      <c r="AC260" s="81" t="s">
        <v>722</v>
      </c>
    </row>
    <row r="261" spans="1:29" x14ac:dyDescent="0.25">
      <c r="A261" s="71" t="s">
        <v>582</v>
      </c>
      <c r="B261" s="72" t="s">
        <v>583</v>
      </c>
      <c r="C261" s="71" t="s">
        <v>582</v>
      </c>
      <c r="D261" s="73" t="s">
        <v>2</v>
      </c>
      <c r="E261" s="74" t="s">
        <v>2</v>
      </c>
      <c r="F261" s="75" t="s">
        <v>967</v>
      </c>
      <c r="G261" s="76" t="s">
        <v>11</v>
      </c>
      <c r="H261" s="77">
        <v>1429.63</v>
      </c>
      <c r="I261" s="77">
        <v>1191.3599999999999</v>
      </c>
      <c r="J261" s="77">
        <v>914.96320000000003</v>
      </c>
      <c r="K261" s="77">
        <v>1072.2225000000001</v>
      </c>
      <c r="L261" s="78">
        <v>1429.63</v>
      </c>
      <c r="M261" s="78">
        <v>1191.3599999999999</v>
      </c>
      <c r="N261" s="77" t="s">
        <v>4</v>
      </c>
      <c r="O261" s="79">
        <v>1</v>
      </c>
      <c r="P261" s="79">
        <v>1</v>
      </c>
      <c r="Q261" s="79">
        <v>17</v>
      </c>
      <c r="R261" s="71" t="s">
        <v>299</v>
      </c>
      <c r="S261" s="71" t="s">
        <v>572</v>
      </c>
      <c r="T261" s="80"/>
      <c r="U261" s="80"/>
      <c r="V261" s="76" t="s">
        <v>5</v>
      </c>
      <c r="W261" s="76" t="s">
        <v>573</v>
      </c>
      <c r="X261" s="76"/>
      <c r="Y261" s="81">
        <v>0.39300000000000002</v>
      </c>
      <c r="Z261" s="82">
        <v>8.319E-3</v>
      </c>
      <c r="AA261" s="77" t="s">
        <v>722</v>
      </c>
      <c r="AB261" s="77" t="s">
        <v>722</v>
      </c>
      <c r="AC261" s="81" t="s">
        <v>722</v>
      </c>
    </row>
    <row r="262" spans="1:29" x14ac:dyDescent="0.25">
      <c r="A262" s="71" t="s">
        <v>584</v>
      </c>
      <c r="B262" s="72" t="s">
        <v>585</v>
      </c>
      <c r="C262" s="71" t="s">
        <v>584</v>
      </c>
      <c r="D262" s="73" t="s">
        <v>2</v>
      </c>
      <c r="E262" s="74" t="s">
        <v>2</v>
      </c>
      <c r="F262" s="75" t="s">
        <v>967</v>
      </c>
      <c r="G262" s="76" t="s">
        <v>11</v>
      </c>
      <c r="H262" s="77">
        <v>2119.06</v>
      </c>
      <c r="I262" s="77">
        <v>1765.88</v>
      </c>
      <c r="J262" s="77">
        <v>1356.1983999999998</v>
      </c>
      <c r="K262" s="77">
        <v>1589.2950000000001</v>
      </c>
      <c r="L262" s="78">
        <v>2119.06</v>
      </c>
      <c r="M262" s="78">
        <v>1765.88</v>
      </c>
      <c r="N262" s="77" t="s">
        <v>4</v>
      </c>
      <c r="O262" s="79">
        <v>1</v>
      </c>
      <c r="P262" s="79">
        <v>1</v>
      </c>
      <c r="Q262" s="79">
        <v>10</v>
      </c>
      <c r="R262" s="71" t="s">
        <v>299</v>
      </c>
      <c r="S262" s="71" t="s">
        <v>572</v>
      </c>
      <c r="T262" s="80"/>
      <c r="U262" s="80"/>
      <c r="V262" s="76" t="s">
        <v>5</v>
      </c>
      <c r="W262" s="76" t="s">
        <v>573</v>
      </c>
      <c r="X262" s="76"/>
      <c r="Y262" s="81">
        <v>0.495</v>
      </c>
      <c r="Z262" s="82">
        <v>1.0928E-2</v>
      </c>
      <c r="AA262" s="77" t="s">
        <v>722</v>
      </c>
      <c r="AB262" s="77" t="s">
        <v>722</v>
      </c>
      <c r="AC262" s="81" t="s">
        <v>722</v>
      </c>
    </row>
    <row r="263" spans="1:29" x14ac:dyDescent="0.25">
      <c r="A263" s="83"/>
      <c r="B263" s="83"/>
      <c r="C263" s="83"/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  <c r="P263" s="83"/>
      <c r="Q263" s="83"/>
      <c r="R263" s="83"/>
      <c r="S263" s="83"/>
      <c r="T263" s="83"/>
      <c r="U263" s="83"/>
      <c r="V263" s="83"/>
      <c r="W263" s="83"/>
      <c r="X263" s="83"/>
      <c r="Y263" s="83"/>
      <c r="Z263" s="83"/>
      <c r="AA263" s="83"/>
      <c r="AB263" s="83"/>
      <c r="AC263" s="83"/>
    </row>
    <row r="264" spans="1:29" x14ac:dyDescent="0.25">
      <c r="A264" s="71" t="s">
        <v>711</v>
      </c>
      <c r="B264" s="72" t="s">
        <v>712</v>
      </c>
      <c r="C264" s="71" t="s">
        <v>711</v>
      </c>
      <c r="D264" s="73" t="s">
        <v>2</v>
      </c>
      <c r="E264" s="74" t="s">
        <v>2</v>
      </c>
      <c r="F264" s="75" t="s">
        <v>965</v>
      </c>
      <c r="G264" s="76" t="s">
        <v>499</v>
      </c>
      <c r="H264" s="77">
        <v>134.97999999999999</v>
      </c>
      <c r="I264" s="77">
        <v>112.48</v>
      </c>
      <c r="J264" s="77">
        <f>H264-(36 *H264/100)</f>
        <v>86.387199999999993</v>
      </c>
      <c r="K264" s="77">
        <f>H264-(25 *H264/100)</f>
        <v>101.23499999999999</v>
      </c>
      <c r="L264" s="78">
        <f t="shared" ref="L264:M268" si="30">IF(H264="","",H264*(1-$H$259))</f>
        <v>-97566.243600000002</v>
      </c>
      <c r="M264" s="78">
        <f t="shared" si="30"/>
        <v>-81302.793600000005</v>
      </c>
      <c r="N264" s="77" t="s">
        <v>4</v>
      </c>
      <c r="O264" s="79">
        <v>100</v>
      </c>
      <c r="P264" s="79">
        <v>100</v>
      </c>
      <c r="Q264" s="79">
        <v>1600</v>
      </c>
      <c r="R264" s="71" t="s">
        <v>299</v>
      </c>
      <c r="S264" s="71" t="s">
        <v>713</v>
      </c>
      <c r="T264" s="80"/>
      <c r="U264" s="80"/>
      <c r="V264" s="76" t="s">
        <v>5</v>
      </c>
      <c r="W264" s="76" t="s">
        <v>10</v>
      </c>
      <c r="X264" s="76"/>
      <c r="Y264" s="81">
        <v>0.01</v>
      </c>
      <c r="Z264" s="82">
        <v>1E-3</v>
      </c>
      <c r="AA264" s="77" t="e">
        <f>IF(OR(F264="",L264=""),"",F264*L264)</f>
        <v>#VALUE!</v>
      </c>
      <c r="AB264" s="77" t="e">
        <f>IF(OR(F264="",Y264=""),"",Y264*F264)</f>
        <v>#VALUE!</v>
      </c>
      <c r="AC264" s="81" t="e">
        <f>IF(OR(F264="",Z264=""),"",F264*Z264)</f>
        <v>#VALUE!</v>
      </c>
    </row>
    <row r="265" spans="1:29" x14ac:dyDescent="0.25">
      <c r="A265" s="71" t="s">
        <v>714</v>
      </c>
      <c r="B265" s="72" t="s">
        <v>715</v>
      </c>
      <c r="C265" s="71" t="s">
        <v>714</v>
      </c>
      <c r="D265" s="73" t="s">
        <v>2</v>
      </c>
      <c r="E265" s="74" t="s">
        <v>2</v>
      </c>
      <c r="F265" s="75" t="s">
        <v>965</v>
      </c>
      <c r="G265" s="76" t="s">
        <v>499</v>
      </c>
      <c r="H265" s="77">
        <v>194.95</v>
      </c>
      <c r="I265" s="77">
        <v>162.46</v>
      </c>
      <c r="J265" s="77">
        <f>H265-(36 *H265/100)</f>
        <v>124.76799999999999</v>
      </c>
      <c r="K265" s="77">
        <f>H265-(25 *H265/100)</f>
        <v>146.21249999999998</v>
      </c>
      <c r="L265" s="78">
        <f t="shared" si="30"/>
        <v>-140913.75899999999</v>
      </c>
      <c r="M265" s="78">
        <f t="shared" si="30"/>
        <v>-117429.33720000001</v>
      </c>
      <c r="N265" s="77" t="s">
        <v>4</v>
      </c>
      <c r="O265" s="79">
        <v>100</v>
      </c>
      <c r="P265" s="79">
        <v>100</v>
      </c>
      <c r="Q265" s="79">
        <v>1600</v>
      </c>
      <c r="R265" s="71" t="s">
        <v>299</v>
      </c>
      <c r="S265" s="71" t="s">
        <v>713</v>
      </c>
      <c r="T265" s="80"/>
      <c r="U265" s="80"/>
      <c r="V265" s="76" t="s">
        <v>5</v>
      </c>
      <c r="W265" s="76" t="s">
        <v>10</v>
      </c>
      <c r="X265" s="76"/>
      <c r="Y265" s="81">
        <v>1.14E-2</v>
      </c>
      <c r="Z265" s="82">
        <v>1.1999999999999999E-3</v>
      </c>
      <c r="AA265" s="77" t="e">
        <f>IF(OR(F265="",L265=""),"",F265*L265)</f>
        <v>#VALUE!</v>
      </c>
      <c r="AB265" s="77" t="e">
        <f>IF(OR(F265="",Y265=""),"",Y265*F265)</f>
        <v>#VALUE!</v>
      </c>
      <c r="AC265" s="81" t="e">
        <f>IF(OR(F265="",Z265=""),"",F265*Z265)</f>
        <v>#VALUE!</v>
      </c>
    </row>
    <row r="266" spans="1:29" x14ac:dyDescent="0.25">
      <c r="A266" s="71" t="s">
        <v>716</v>
      </c>
      <c r="B266" s="72" t="s">
        <v>717</v>
      </c>
      <c r="C266" s="71" t="s">
        <v>716</v>
      </c>
      <c r="D266" s="73" t="s">
        <v>2</v>
      </c>
      <c r="E266" s="74" t="s">
        <v>2</v>
      </c>
      <c r="F266" s="75" t="s">
        <v>965</v>
      </c>
      <c r="G266" s="76" t="s">
        <v>499</v>
      </c>
      <c r="H266" s="77">
        <v>239.93</v>
      </c>
      <c r="I266" s="77">
        <v>199.94</v>
      </c>
      <c r="J266" s="77">
        <f>H266-(36 *H266/100)</f>
        <v>153.55520000000001</v>
      </c>
      <c r="K266" s="77">
        <f>H266-(25 *H266/100)</f>
        <v>179.94749999999999</v>
      </c>
      <c r="L266" s="78">
        <f t="shared" si="30"/>
        <v>-173426.20260000002</v>
      </c>
      <c r="M266" s="78">
        <f t="shared" si="30"/>
        <v>-144520.63080000001</v>
      </c>
      <c r="N266" s="77" t="s">
        <v>4</v>
      </c>
      <c r="O266" s="79">
        <v>100</v>
      </c>
      <c r="P266" s="79">
        <v>100</v>
      </c>
      <c r="Q266" s="79">
        <v>1600</v>
      </c>
      <c r="R266" s="71" t="s">
        <v>299</v>
      </c>
      <c r="S266" s="71" t="s">
        <v>713</v>
      </c>
      <c r="T266" s="80"/>
      <c r="U266" s="80"/>
      <c r="V266" s="76" t="s">
        <v>5</v>
      </c>
      <c r="W266" s="76" t="s">
        <v>10</v>
      </c>
      <c r="X266" s="76"/>
      <c r="Y266" s="81">
        <v>1.32E-2</v>
      </c>
      <c r="Z266" s="82">
        <v>1.5E-3</v>
      </c>
      <c r="AA266" s="77" t="e">
        <f>IF(OR(F266="",L266=""),"",F266*L266)</f>
        <v>#VALUE!</v>
      </c>
      <c r="AB266" s="77" t="e">
        <f>IF(OR(F266="",Y266=""),"",Y266*F266)</f>
        <v>#VALUE!</v>
      </c>
      <c r="AC266" s="81" t="e">
        <f>IF(OR(F266="",Z266=""),"",F266*Z266)</f>
        <v>#VALUE!</v>
      </c>
    </row>
    <row r="267" spans="1:29" x14ac:dyDescent="0.25">
      <c r="A267" s="71" t="s">
        <v>718</v>
      </c>
      <c r="B267" s="72" t="s">
        <v>719</v>
      </c>
      <c r="C267" s="71" t="s">
        <v>718</v>
      </c>
      <c r="D267" s="73" t="s">
        <v>2</v>
      </c>
      <c r="E267" s="74" t="s">
        <v>2</v>
      </c>
      <c r="F267" s="75" t="s">
        <v>965</v>
      </c>
      <c r="G267" s="76" t="s">
        <v>499</v>
      </c>
      <c r="H267" s="77">
        <v>254.95</v>
      </c>
      <c r="I267" s="77">
        <v>212.46</v>
      </c>
      <c r="J267" s="77">
        <f>H267-(36 *H267/100)</f>
        <v>163.16800000000001</v>
      </c>
      <c r="K267" s="77">
        <f>H267-(25 *H267/100)</f>
        <v>191.21249999999998</v>
      </c>
      <c r="L267" s="78">
        <f t="shared" si="30"/>
        <v>-184282.959</v>
      </c>
      <c r="M267" s="78">
        <f t="shared" si="30"/>
        <v>-153570.33720000001</v>
      </c>
      <c r="N267" s="77" t="s">
        <v>4</v>
      </c>
      <c r="O267" s="79">
        <v>50</v>
      </c>
      <c r="P267" s="79">
        <v>50</v>
      </c>
      <c r="Q267" s="79">
        <v>400</v>
      </c>
      <c r="R267" s="71" t="s">
        <v>299</v>
      </c>
      <c r="S267" s="71" t="s">
        <v>713</v>
      </c>
      <c r="T267" s="80"/>
      <c r="U267" s="80"/>
      <c r="V267" s="76" t="s">
        <v>5</v>
      </c>
      <c r="W267" s="76" t="s">
        <v>10</v>
      </c>
      <c r="X267" s="76"/>
      <c r="Y267" s="81">
        <v>1.6E-2</v>
      </c>
      <c r="Z267" s="82">
        <v>2E-3</v>
      </c>
      <c r="AA267" s="77" t="e">
        <f>IF(OR(F267="",L267=""),"",F267*L267)</f>
        <v>#VALUE!</v>
      </c>
      <c r="AB267" s="77" t="e">
        <f>IF(OR(F267="",Y267=""),"",Y267*F267)</f>
        <v>#VALUE!</v>
      </c>
      <c r="AC267" s="81" t="e">
        <f>IF(OR(F267="",Z267=""),"",F267*Z267)</f>
        <v>#VALUE!</v>
      </c>
    </row>
    <row r="268" spans="1:29" x14ac:dyDescent="0.25">
      <c r="A268" s="71" t="s">
        <v>720</v>
      </c>
      <c r="B268" s="72" t="s">
        <v>721</v>
      </c>
      <c r="C268" s="71" t="s">
        <v>720</v>
      </c>
      <c r="D268" s="73" t="s">
        <v>2</v>
      </c>
      <c r="E268" s="74" t="s">
        <v>2</v>
      </c>
      <c r="F268" s="75" t="s">
        <v>965</v>
      </c>
      <c r="G268" s="76" t="s">
        <v>499</v>
      </c>
      <c r="H268" s="77">
        <v>389.9</v>
      </c>
      <c r="I268" s="77">
        <v>324.92</v>
      </c>
      <c r="J268" s="77">
        <f>H268-(36 *H268/100)</f>
        <v>249.53599999999997</v>
      </c>
      <c r="K268" s="77">
        <f>H268-(25 *H268/100)</f>
        <v>292.42499999999995</v>
      </c>
      <c r="L268" s="78">
        <f t="shared" si="30"/>
        <v>-281827.51799999998</v>
      </c>
      <c r="M268" s="78">
        <f t="shared" si="30"/>
        <v>-234858.67440000002</v>
      </c>
      <c r="N268" s="77" t="s">
        <v>4</v>
      </c>
      <c r="O268" s="79">
        <v>50</v>
      </c>
      <c r="P268" s="79">
        <v>50</v>
      </c>
      <c r="Q268" s="79">
        <v>400</v>
      </c>
      <c r="R268" s="71" t="s">
        <v>299</v>
      </c>
      <c r="S268" s="71" t="s">
        <v>713</v>
      </c>
      <c r="T268" s="80"/>
      <c r="U268" s="80"/>
      <c r="V268" s="76" t="s">
        <v>5</v>
      </c>
      <c r="W268" s="76" t="s">
        <v>10</v>
      </c>
      <c r="X268" s="76"/>
      <c r="Y268" s="81">
        <v>1.72E-2</v>
      </c>
      <c r="Z268" s="82">
        <v>2.5000000000000001E-3</v>
      </c>
      <c r="AA268" s="77" t="e">
        <f>IF(OR(F268="",L268=""),"",F268*L268)</f>
        <v>#VALUE!</v>
      </c>
      <c r="AB268" s="77" t="e">
        <f>IF(OR(F268="",Y268=""),"",Y268*F268)</f>
        <v>#VALUE!</v>
      </c>
      <c r="AC268" s="81" t="e">
        <f>IF(OR(F268="",Z268=""),"",F268*Z268)</f>
        <v>#VALUE!</v>
      </c>
    </row>
    <row r="269" spans="1:29" x14ac:dyDescent="0.25">
      <c r="A269" s="447" t="s">
        <v>902</v>
      </c>
      <c r="B269" s="447"/>
      <c r="C269" s="447"/>
      <c r="D269" s="447"/>
      <c r="E269" s="447"/>
      <c r="F269" s="447"/>
      <c r="G269" s="447"/>
      <c r="H269" s="447"/>
      <c r="I269" s="447"/>
      <c r="J269" s="447"/>
      <c r="K269" s="447"/>
      <c r="L269" s="447"/>
      <c r="M269" s="447"/>
      <c r="N269" s="447"/>
      <c r="O269" s="447"/>
      <c r="P269" s="447"/>
      <c r="Q269" s="447"/>
      <c r="R269" s="447"/>
      <c r="S269" s="447"/>
      <c r="T269" s="447"/>
      <c r="U269" s="447"/>
      <c r="V269" s="447"/>
      <c r="W269" s="447"/>
      <c r="X269" s="447"/>
      <c r="Y269" s="447"/>
      <c r="Z269" s="447"/>
      <c r="AA269" s="447"/>
      <c r="AB269" s="447"/>
      <c r="AC269" s="447"/>
    </row>
    <row r="270" spans="1:29" ht="25.5" x14ac:dyDescent="0.25">
      <c r="A270" s="11" t="s">
        <v>523</v>
      </c>
      <c r="B270" s="12" t="s">
        <v>524</v>
      </c>
      <c r="C270" s="11" t="s">
        <v>523</v>
      </c>
      <c r="D270" s="13" t="s">
        <v>2</v>
      </c>
      <c r="E270" s="14" t="s">
        <v>2</v>
      </c>
      <c r="F270" s="15" t="s">
        <v>965</v>
      </c>
      <c r="G270" s="16" t="s">
        <v>3</v>
      </c>
      <c r="H270" s="17">
        <v>19.25</v>
      </c>
      <c r="I270" s="17">
        <v>16.04</v>
      </c>
      <c r="J270" s="17">
        <v>12.32</v>
      </c>
      <c r="K270" s="17">
        <v>14.4375</v>
      </c>
      <c r="L270" s="18">
        <v>19.25</v>
      </c>
      <c r="M270" s="18">
        <v>16.04</v>
      </c>
      <c r="N270" s="17" t="s">
        <v>4</v>
      </c>
      <c r="O270" s="19">
        <v>20</v>
      </c>
      <c r="P270" s="19">
        <v>20</v>
      </c>
      <c r="Q270" s="19">
        <v>3000</v>
      </c>
      <c r="R270" s="11" t="s">
        <v>299</v>
      </c>
      <c r="S270" s="11" t="s">
        <v>500</v>
      </c>
      <c r="T270" s="20" t="s">
        <v>501</v>
      </c>
      <c r="U270" s="20" t="s">
        <v>504</v>
      </c>
      <c r="V270" s="16" t="s">
        <v>5</v>
      </c>
      <c r="W270" s="16" t="s">
        <v>10</v>
      </c>
      <c r="X270" s="16"/>
      <c r="Y270" s="21">
        <v>5.0000000000000001E-3</v>
      </c>
      <c r="Z270" s="22">
        <v>2.0499999999999999E-6</v>
      </c>
      <c r="AA270" s="17" t="s">
        <v>722</v>
      </c>
      <c r="AB270" s="17" t="s">
        <v>722</v>
      </c>
      <c r="AC270" s="21" t="s">
        <v>722</v>
      </c>
    </row>
    <row r="271" spans="1:29" ht="25.5" x14ac:dyDescent="0.25">
      <c r="A271" s="11" t="s">
        <v>525</v>
      </c>
      <c r="B271" s="12" t="s">
        <v>526</v>
      </c>
      <c r="C271" s="11" t="s">
        <v>525</v>
      </c>
      <c r="D271" s="13" t="s">
        <v>2</v>
      </c>
      <c r="E271" s="14" t="s">
        <v>2</v>
      </c>
      <c r="F271" s="15" t="s">
        <v>965</v>
      </c>
      <c r="G271" s="16" t="s">
        <v>3</v>
      </c>
      <c r="H271" s="17">
        <v>27.37</v>
      </c>
      <c r="I271" s="17">
        <v>22.81</v>
      </c>
      <c r="J271" s="17">
        <v>17.5168</v>
      </c>
      <c r="K271" s="17">
        <v>20.5275</v>
      </c>
      <c r="L271" s="18">
        <v>27.37</v>
      </c>
      <c r="M271" s="18">
        <v>22.81</v>
      </c>
      <c r="N271" s="17" t="s">
        <v>4</v>
      </c>
      <c r="O271" s="19">
        <v>20</v>
      </c>
      <c r="P271" s="19">
        <v>20</v>
      </c>
      <c r="Q271" s="19">
        <v>2000</v>
      </c>
      <c r="R271" s="11" t="s">
        <v>299</v>
      </c>
      <c r="S271" s="11" t="s">
        <v>500</v>
      </c>
      <c r="T271" s="20" t="s">
        <v>501</v>
      </c>
      <c r="U271" s="20" t="s">
        <v>504</v>
      </c>
      <c r="V271" s="16" t="s">
        <v>5</v>
      </c>
      <c r="W271" s="16" t="s">
        <v>10</v>
      </c>
      <c r="X271" s="16"/>
      <c r="Y271" s="21">
        <v>7.0000000000000001E-3</v>
      </c>
      <c r="Z271" s="22">
        <v>1.5489999999999999E-5</v>
      </c>
      <c r="AA271" s="17" t="s">
        <v>722</v>
      </c>
      <c r="AB271" s="17" t="s">
        <v>722</v>
      </c>
      <c r="AC271" s="21" t="s">
        <v>722</v>
      </c>
    </row>
    <row r="272" spans="1:29" ht="25.5" x14ac:dyDescent="0.25">
      <c r="A272" s="11" t="s">
        <v>502</v>
      </c>
      <c r="B272" s="12" t="s">
        <v>503</v>
      </c>
      <c r="C272" s="11" t="s">
        <v>502</v>
      </c>
      <c r="D272" s="13" t="s">
        <v>2</v>
      </c>
      <c r="E272" s="14" t="s">
        <v>2</v>
      </c>
      <c r="F272" s="15" t="s">
        <v>965</v>
      </c>
      <c r="G272" s="16" t="s">
        <v>3</v>
      </c>
      <c r="H272" s="17">
        <v>30.94</v>
      </c>
      <c r="I272" s="17">
        <v>25.78</v>
      </c>
      <c r="J272" s="17">
        <v>19.801600000000001</v>
      </c>
      <c r="K272" s="17">
        <v>23.205000000000002</v>
      </c>
      <c r="L272" s="18">
        <v>30.94</v>
      </c>
      <c r="M272" s="18">
        <v>25.78</v>
      </c>
      <c r="N272" s="17" t="s">
        <v>4</v>
      </c>
      <c r="O272" s="19">
        <v>20</v>
      </c>
      <c r="P272" s="19">
        <v>20</v>
      </c>
      <c r="Q272" s="19">
        <v>1500</v>
      </c>
      <c r="R272" s="11" t="s">
        <v>299</v>
      </c>
      <c r="S272" s="11" t="s">
        <v>500</v>
      </c>
      <c r="T272" s="20" t="s">
        <v>501</v>
      </c>
      <c r="U272" s="20" t="s">
        <v>504</v>
      </c>
      <c r="V272" s="16" t="s">
        <v>5</v>
      </c>
      <c r="W272" s="16" t="s">
        <v>10</v>
      </c>
      <c r="X272" s="16"/>
      <c r="Y272" s="21">
        <v>8.9999999999999993E-3</v>
      </c>
      <c r="Z272" s="22">
        <v>2.016E-5</v>
      </c>
      <c r="AA272" s="17" t="s">
        <v>722</v>
      </c>
      <c r="AB272" s="17" t="s">
        <v>722</v>
      </c>
      <c r="AC272" s="21" t="s">
        <v>722</v>
      </c>
    </row>
    <row r="273" spans="1:29" ht="25.5" x14ac:dyDescent="0.25">
      <c r="A273" s="11" t="s">
        <v>505</v>
      </c>
      <c r="B273" s="12" t="s">
        <v>506</v>
      </c>
      <c r="C273" s="11" t="s">
        <v>505</v>
      </c>
      <c r="D273" s="13" t="s">
        <v>2</v>
      </c>
      <c r="E273" s="14" t="s">
        <v>2</v>
      </c>
      <c r="F273" s="15" t="s">
        <v>965</v>
      </c>
      <c r="G273" s="16" t="s">
        <v>3</v>
      </c>
      <c r="H273" s="17">
        <v>39.28</v>
      </c>
      <c r="I273" s="17">
        <v>32.729999999999997</v>
      </c>
      <c r="J273" s="17">
        <v>25.139200000000002</v>
      </c>
      <c r="K273" s="17">
        <v>29.46</v>
      </c>
      <c r="L273" s="18">
        <v>39.28</v>
      </c>
      <c r="M273" s="18">
        <v>32.729999999999997</v>
      </c>
      <c r="N273" s="17" t="s">
        <v>4</v>
      </c>
      <c r="O273" s="19">
        <v>20</v>
      </c>
      <c r="P273" s="19">
        <v>20</v>
      </c>
      <c r="Q273" s="19">
        <v>1000</v>
      </c>
      <c r="R273" s="11" t="s">
        <v>299</v>
      </c>
      <c r="S273" s="11" t="s">
        <v>500</v>
      </c>
      <c r="T273" s="20" t="s">
        <v>501</v>
      </c>
      <c r="U273" s="20" t="s">
        <v>504</v>
      </c>
      <c r="V273" s="16" t="s">
        <v>5</v>
      </c>
      <c r="W273" s="16" t="s">
        <v>10</v>
      </c>
      <c r="X273" s="16"/>
      <c r="Y273" s="21">
        <v>1.2E-2</v>
      </c>
      <c r="Z273" s="22">
        <v>3.6000000000000001E-5</v>
      </c>
      <c r="AA273" s="17" t="s">
        <v>722</v>
      </c>
      <c r="AB273" s="17" t="s">
        <v>722</v>
      </c>
      <c r="AC273" s="21" t="s">
        <v>722</v>
      </c>
    </row>
    <row r="274" spans="1:29" ht="25.5" x14ac:dyDescent="0.25">
      <c r="A274" s="11" t="s">
        <v>507</v>
      </c>
      <c r="B274" s="12" t="s">
        <v>508</v>
      </c>
      <c r="C274" s="11" t="s">
        <v>507</v>
      </c>
      <c r="D274" s="13" t="s">
        <v>2</v>
      </c>
      <c r="E274" s="14" t="s">
        <v>2</v>
      </c>
      <c r="F274" s="15" t="s">
        <v>965</v>
      </c>
      <c r="G274" s="16" t="s">
        <v>3</v>
      </c>
      <c r="H274" s="17">
        <v>43.24</v>
      </c>
      <c r="I274" s="17">
        <v>36.03</v>
      </c>
      <c r="J274" s="17">
        <v>27.6736</v>
      </c>
      <c r="K274" s="17">
        <v>32.43</v>
      </c>
      <c r="L274" s="18">
        <v>43.24</v>
      </c>
      <c r="M274" s="18">
        <v>36.03</v>
      </c>
      <c r="N274" s="17" t="s">
        <v>4</v>
      </c>
      <c r="O274" s="19">
        <v>20</v>
      </c>
      <c r="P274" s="19">
        <v>20</v>
      </c>
      <c r="Q274" s="19">
        <v>1000</v>
      </c>
      <c r="R274" s="11" t="s">
        <v>299</v>
      </c>
      <c r="S274" s="11" t="s">
        <v>500</v>
      </c>
      <c r="T274" s="20" t="s">
        <v>501</v>
      </c>
      <c r="U274" s="20" t="s">
        <v>504</v>
      </c>
      <c r="V274" s="16" t="s">
        <v>5</v>
      </c>
      <c r="W274" s="16" t="s">
        <v>10</v>
      </c>
      <c r="X274" s="16"/>
      <c r="Y274" s="21">
        <v>1.4999999999999999E-2</v>
      </c>
      <c r="Z274" s="22">
        <v>3.2240000000000003E-5</v>
      </c>
      <c r="AA274" s="17" t="s">
        <v>722</v>
      </c>
      <c r="AB274" s="17" t="s">
        <v>722</v>
      </c>
      <c r="AC274" s="21" t="s">
        <v>722</v>
      </c>
    </row>
    <row r="275" spans="1:29" ht="25.5" x14ac:dyDescent="0.25">
      <c r="A275" s="11" t="s">
        <v>509</v>
      </c>
      <c r="B275" s="12" t="s">
        <v>510</v>
      </c>
      <c r="C275" s="11" t="s">
        <v>509</v>
      </c>
      <c r="D275" s="13" t="s">
        <v>2</v>
      </c>
      <c r="E275" s="14" t="s">
        <v>2</v>
      </c>
      <c r="F275" s="15" t="s">
        <v>965</v>
      </c>
      <c r="G275" s="16" t="s">
        <v>3</v>
      </c>
      <c r="H275" s="17">
        <v>57.13</v>
      </c>
      <c r="I275" s="17">
        <v>47.61</v>
      </c>
      <c r="J275" s="17">
        <v>36.563199999999995</v>
      </c>
      <c r="K275" s="17">
        <v>42.847500000000004</v>
      </c>
      <c r="L275" s="18">
        <v>57.13</v>
      </c>
      <c r="M275" s="18">
        <v>47.61</v>
      </c>
      <c r="N275" s="17" t="s">
        <v>4</v>
      </c>
      <c r="O275" s="19">
        <v>20</v>
      </c>
      <c r="P275" s="19">
        <v>20</v>
      </c>
      <c r="Q275" s="19">
        <v>1000</v>
      </c>
      <c r="R275" s="11" t="s">
        <v>299</v>
      </c>
      <c r="S275" s="11" t="s">
        <v>500</v>
      </c>
      <c r="T275" s="20" t="s">
        <v>501</v>
      </c>
      <c r="U275" s="20" t="s">
        <v>504</v>
      </c>
      <c r="V275" s="16" t="s">
        <v>5</v>
      </c>
      <c r="W275" s="16" t="s">
        <v>10</v>
      </c>
      <c r="X275" s="16"/>
      <c r="Y275" s="21">
        <v>1.4E-2</v>
      </c>
      <c r="Z275" s="22">
        <v>4.6E-5</v>
      </c>
      <c r="AA275" s="17" t="s">
        <v>722</v>
      </c>
      <c r="AB275" s="17" t="s">
        <v>722</v>
      </c>
      <c r="AC275" s="21" t="s">
        <v>722</v>
      </c>
    </row>
    <row r="276" spans="1:29" ht="25.5" x14ac:dyDescent="0.25">
      <c r="A276" s="11" t="s">
        <v>511</v>
      </c>
      <c r="B276" s="12" t="s">
        <v>512</v>
      </c>
      <c r="C276" s="11" t="s">
        <v>511</v>
      </c>
      <c r="D276" s="13" t="s">
        <v>2</v>
      </c>
      <c r="E276" s="14" t="s">
        <v>2</v>
      </c>
      <c r="F276" s="15" t="s">
        <v>965</v>
      </c>
      <c r="G276" s="16" t="s">
        <v>3</v>
      </c>
      <c r="H276" s="17">
        <v>58.58</v>
      </c>
      <c r="I276" s="17">
        <v>48.82</v>
      </c>
      <c r="J276" s="17">
        <v>37.491199999999992</v>
      </c>
      <c r="K276" s="17">
        <v>43.935000000000002</v>
      </c>
      <c r="L276" s="18">
        <v>58.58</v>
      </c>
      <c r="M276" s="18">
        <v>48.82</v>
      </c>
      <c r="N276" s="17" t="s">
        <v>4</v>
      </c>
      <c r="O276" s="19">
        <v>20</v>
      </c>
      <c r="P276" s="19">
        <v>20</v>
      </c>
      <c r="Q276" s="19">
        <v>1000</v>
      </c>
      <c r="R276" s="11" t="s">
        <v>299</v>
      </c>
      <c r="S276" s="11" t="s">
        <v>500</v>
      </c>
      <c r="T276" s="20" t="s">
        <v>501</v>
      </c>
      <c r="U276" s="20" t="s">
        <v>504</v>
      </c>
      <c r="V276" s="16" t="s">
        <v>5</v>
      </c>
      <c r="W276" s="16" t="s">
        <v>10</v>
      </c>
      <c r="X276" s="16"/>
      <c r="Y276" s="21">
        <v>2.4E-2</v>
      </c>
      <c r="Z276" s="22">
        <v>6.2000000000000003E-5</v>
      </c>
      <c r="AA276" s="17" t="s">
        <v>722</v>
      </c>
      <c r="AB276" s="17" t="s">
        <v>722</v>
      </c>
      <c r="AC276" s="21" t="s">
        <v>722</v>
      </c>
    </row>
    <row r="277" spans="1:29" ht="25.5" x14ac:dyDescent="0.25">
      <c r="A277" s="11" t="s">
        <v>513</v>
      </c>
      <c r="B277" s="12" t="s">
        <v>514</v>
      </c>
      <c r="C277" s="11" t="s">
        <v>513</v>
      </c>
      <c r="D277" s="13" t="s">
        <v>2</v>
      </c>
      <c r="E277" s="14" t="s">
        <v>2</v>
      </c>
      <c r="F277" s="15" t="s">
        <v>965</v>
      </c>
      <c r="G277" s="16" t="s">
        <v>3</v>
      </c>
      <c r="H277" s="17">
        <v>114.89</v>
      </c>
      <c r="I277" s="17">
        <v>95.74</v>
      </c>
      <c r="J277" s="17">
        <v>73.529600000000002</v>
      </c>
      <c r="K277" s="17">
        <v>86.167500000000004</v>
      </c>
      <c r="L277" s="18">
        <v>114.89</v>
      </c>
      <c r="M277" s="18">
        <v>95.74</v>
      </c>
      <c r="N277" s="17" t="s">
        <v>4</v>
      </c>
      <c r="O277" s="19">
        <v>20</v>
      </c>
      <c r="P277" s="19">
        <v>20</v>
      </c>
      <c r="Q277" s="19">
        <v>500</v>
      </c>
      <c r="R277" s="11" t="s">
        <v>299</v>
      </c>
      <c r="S277" s="11" t="s">
        <v>500</v>
      </c>
      <c r="T277" s="20" t="s">
        <v>501</v>
      </c>
      <c r="U277" s="20" t="s">
        <v>504</v>
      </c>
      <c r="V277" s="16" t="s">
        <v>5</v>
      </c>
      <c r="W277" s="16" t="s">
        <v>10</v>
      </c>
      <c r="X277" s="16"/>
      <c r="Y277" s="21">
        <v>2.9000000000000001E-2</v>
      </c>
      <c r="Z277" s="22">
        <v>9.9999999999999995E-7</v>
      </c>
      <c r="AA277" s="17" t="s">
        <v>722</v>
      </c>
      <c r="AB277" s="17" t="s">
        <v>722</v>
      </c>
      <c r="AC277" s="21" t="s">
        <v>722</v>
      </c>
    </row>
    <row r="278" spans="1:29" ht="25.5" x14ac:dyDescent="0.25">
      <c r="A278" s="11" t="s">
        <v>515</v>
      </c>
      <c r="B278" s="12" t="s">
        <v>516</v>
      </c>
      <c r="C278" s="11" t="s">
        <v>515</v>
      </c>
      <c r="D278" s="13" t="s">
        <v>2</v>
      </c>
      <c r="E278" s="14" t="s">
        <v>2</v>
      </c>
      <c r="F278" s="15" t="s">
        <v>965</v>
      </c>
      <c r="G278" s="16" t="s">
        <v>3</v>
      </c>
      <c r="H278" s="17">
        <v>119.93</v>
      </c>
      <c r="I278" s="17">
        <v>99.94</v>
      </c>
      <c r="J278" s="17">
        <v>76.755200000000002</v>
      </c>
      <c r="K278" s="17">
        <v>89.947500000000005</v>
      </c>
      <c r="L278" s="18">
        <v>119.93</v>
      </c>
      <c r="M278" s="18">
        <v>99.94</v>
      </c>
      <c r="N278" s="17" t="s">
        <v>4</v>
      </c>
      <c r="O278" s="19">
        <v>20</v>
      </c>
      <c r="P278" s="19">
        <v>20</v>
      </c>
      <c r="Q278" s="19">
        <v>200</v>
      </c>
      <c r="R278" s="11" t="s">
        <v>299</v>
      </c>
      <c r="S278" s="11" t="s">
        <v>500</v>
      </c>
      <c r="T278" s="20" t="s">
        <v>501</v>
      </c>
      <c r="U278" s="20" t="s">
        <v>504</v>
      </c>
      <c r="V278" s="16" t="s">
        <v>5</v>
      </c>
      <c r="W278" s="16" t="s">
        <v>10</v>
      </c>
      <c r="X278" s="16"/>
      <c r="Y278" s="21">
        <v>4.2999999999999997E-2</v>
      </c>
      <c r="Z278" s="22">
        <v>1E-4</v>
      </c>
      <c r="AA278" s="17" t="s">
        <v>722</v>
      </c>
      <c r="AB278" s="17" t="s">
        <v>722</v>
      </c>
      <c r="AC278" s="21" t="s">
        <v>722</v>
      </c>
    </row>
    <row r="279" spans="1:29" ht="25.5" x14ac:dyDescent="0.25">
      <c r="A279" s="11" t="s">
        <v>517</v>
      </c>
      <c r="B279" s="12" t="s">
        <v>518</v>
      </c>
      <c r="C279" s="11" t="s">
        <v>517</v>
      </c>
      <c r="D279" s="13" t="s">
        <v>2</v>
      </c>
      <c r="E279" s="14" t="s">
        <v>2</v>
      </c>
      <c r="F279" s="15" t="s">
        <v>967</v>
      </c>
      <c r="G279" s="16" t="s">
        <v>3</v>
      </c>
      <c r="H279" s="17">
        <v>199.52</v>
      </c>
      <c r="I279" s="17">
        <v>166.27</v>
      </c>
      <c r="J279" s="17">
        <v>127.69280000000001</v>
      </c>
      <c r="K279" s="17">
        <v>149.64000000000001</v>
      </c>
      <c r="L279" s="18">
        <v>199.52</v>
      </c>
      <c r="M279" s="18">
        <v>166.27</v>
      </c>
      <c r="N279" s="17" t="s">
        <v>4</v>
      </c>
      <c r="O279" s="19">
        <v>20</v>
      </c>
      <c r="P279" s="19">
        <v>20</v>
      </c>
      <c r="Q279" s="19">
        <v>160</v>
      </c>
      <c r="R279" s="11" t="s">
        <v>299</v>
      </c>
      <c r="S279" s="11" t="s">
        <v>500</v>
      </c>
      <c r="T279" s="20" t="s">
        <v>501</v>
      </c>
      <c r="U279" s="20" t="s">
        <v>504</v>
      </c>
      <c r="V279" s="16" t="s">
        <v>5</v>
      </c>
      <c r="W279" s="16" t="s">
        <v>10</v>
      </c>
      <c r="X279" s="16"/>
      <c r="Y279" s="21">
        <v>7.5999999999999998E-2</v>
      </c>
      <c r="Z279" s="22">
        <v>1.2E-4</v>
      </c>
      <c r="AA279" s="17" t="s">
        <v>722</v>
      </c>
      <c r="AB279" s="17" t="s">
        <v>722</v>
      </c>
      <c r="AC279" s="21" t="s">
        <v>722</v>
      </c>
    </row>
    <row r="280" spans="1:29" ht="25.5" x14ac:dyDescent="0.25">
      <c r="A280" s="11" t="s">
        <v>519</v>
      </c>
      <c r="B280" s="12" t="s">
        <v>520</v>
      </c>
      <c r="C280" s="11" t="s">
        <v>519</v>
      </c>
      <c r="D280" s="13" t="s">
        <v>2</v>
      </c>
      <c r="E280" s="14" t="s">
        <v>2</v>
      </c>
      <c r="F280" s="15" t="s">
        <v>967</v>
      </c>
      <c r="G280" s="16" t="s">
        <v>3</v>
      </c>
      <c r="H280" s="17">
        <v>214.57</v>
      </c>
      <c r="I280" s="17">
        <v>178.81</v>
      </c>
      <c r="J280" s="17">
        <v>137.32479999999998</v>
      </c>
      <c r="K280" s="17">
        <v>160.92750000000001</v>
      </c>
      <c r="L280" s="18">
        <v>214.57</v>
      </c>
      <c r="M280" s="18">
        <v>178.81</v>
      </c>
      <c r="N280" s="17" t="s">
        <v>4</v>
      </c>
      <c r="O280" s="19">
        <v>20</v>
      </c>
      <c r="P280" s="19">
        <v>20</v>
      </c>
      <c r="Q280" s="19">
        <v>200</v>
      </c>
      <c r="R280" s="11" t="s">
        <v>299</v>
      </c>
      <c r="S280" s="11" t="s">
        <v>500</v>
      </c>
      <c r="T280" s="20" t="s">
        <v>501</v>
      </c>
      <c r="U280" s="20" t="s">
        <v>504</v>
      </c>
      <c r="V280" s="16" t="s">
        <v>5</v>
      </c>
      <c r="W280" s="16" t="s">
        <v>10</v>
      </c>
      <c r="X280" s="16"/>
      <c r="Y280" s="21">
        <v>0.10299999999999999</v>
      </c>
      <c r="Z280" s="22">
        <v>3.0299999999999999E-4</v>
      </c>
      <c r="AA280" s="17" t="s">
        <v>722</v>
      </c>
      <c r="AB280" s="17" t="s">
        <v>722</v>
      </c>
      <c r="AC280" s="21" t="s">
        <v>722</v>
      </c>
    </row>
    <row r="281" spans="1:29" ht="25.5" x14ac:dyDescent="0.25">
      <c r="A281" s="11" t="s">
        <v>521</v>
      </c>
      <c r="B281" s="12" t="s">
        <v>522</v>
      </c>
      <c r="C281" s="11" t="s">
        <v>521</v>
      </c>
      <c r="D281" s="13" t="s">
        <v>2</v>
      </c>
      <c r="E281" s="14" t="s">
        <v>2</v>
      </c>
      <c r="F281" s="15" t="s">
        <v>965</v>
      </c>
      <c r="G281" s="16" t="s">
        <v>3</v>
      </c>
      <c r="H281" s="17">
        <v>229.59</v>
      </c>
      <c r="I281" s="17">
        <v>191.33</v>
      </c>
      <c r="J281" s="17">
        <v>146.9376</v>
      </c>
      <c r="K281" s="17">
        <v>172.1925</v>
      </c>
      <c r="L281" s="18">
        <v>229.59</v>
      </c>
      <c r="M281" s="18">
        <v>191.33</v>
      </c>
      <c r="N281" s="17" t="s">
        <v>4</v>
      </c>
      <c r="O281" s="19">
        <v>20</v>
      </c>
      <c r="P281" s="19">
        <v>20</v>
      </c>
      <c r="Q281" s="19">
        <v>200</v>
      </c>
      <c r="R281" s="11" t="s">
        <v>299</v>
      </c>
      <c r="S281" s="11" t="s">
        <v>500</v>
      </c>
      <c r="T281" s="20" t="s">
        <v>501</v>
      </c>
      <c r="U281" s="20" t="s">
        <v>504</v>
      </c>
      <c r="V281" s="16" t="s">
        <v>5</v>
      </c>
      <c r="W281" s="16" t="s">
        <v>10</v>
      </c>
      <c r="X281" s="16"/>
      <c r="Y281" s="21">
        <v>0.10299999999999999</v>
      </c>
      <c r="Z281" s="22">
        <v>2.8800000000000001E-4</v>
      </c>
      <c r="AA281" s="17" t="s">
        <v>722</v>
      </c>
      <c r="AB281" s="17" t="s">
        <v>722</v>
      </c>
      <c r="AC281" s="21" t="s">
        <v>722</v>
      </c>
    </row>
    <row r="282" spans="1:29" ht="25.5" x14ac:dyDescent="0.25">
      <c r="A282" s="11" t="s">
        <v>527</v>
      </c>
      <c r="B282" s="12" t="s">
        <v>528</v>
      </c>
      <c r="C282" s="11" t="s">
        <v>527</v>
      </c>
      <c r="D282" s="13" t="s">
        <v>2</v>
      </c>
      <c r="E282" s="14" t="s">
        <v>2</v>
      </c>
      <c r="F282" s="15" t="s">
        <v>967</v>
      </c>
      <c r="G282" s="16" t="s">
        <v>3</v>
      </c>
      <c r="H282" s="17">
        <v>10.16</v>
      </c>
      <c r="I282" s="17">
        <v>8.4700000000000006</v>
      </c>
      <c r="J282" s="17">
        <v>6.5023999999999997</v>
      </c>
      <c r="K282" s="17">
        <v>7.62</v>
      </c>
      <c r="L282" s="18">
        <v>10.16</v>
      </c>
      <c r="M282" s="18">
        <v>8.4700000000000006</v>
      </c>
      <c r="N282" s="17" t="s">
        <v>4</v>
      </c>
      <c r="O282" s="19">
        <v>100</v>
      </c>
      <c r="P282" s="19">
        <v>100</v>
      </c>
      <c r="Q282" s="19">
        <v>1000</v>
      </c>
      <c r="R282" s="11" t="s">
        <v>299</v>
      </c>
      <c r="S282" s="11" t="s">
        <v>500</v>
      </c>
      <c r="T282" s="20" t="s">
        <v>529</v>
      </c>
      <c r="U282" s="20"/>
      <c r="V282" s="16" t="s">
        <v>5</v>
      </c>
      <c r="W282" s="16" t="s">
        <v>10</v>
      </c>
      <c r="X282" s="16"/>
      <c r="Y282" s="21">
        <v>4.0000000000000001E-3</v>
      </c>
      <c r="Z282" s="22">
        <v>1.4E-5</v>
      </c>
      <c r="AA282" s="17" t="s">
        <v>722</v>
      </c>
      <c r="AB282" s="17" t="s">
        <v>722</v>
      </c>
      <c r="AC282" s="21" t="s">
        <v>722</v>
      </c>
    </row>
    <row r="283" spans="1:29" ht="25.5" x14ac:dyDescent="0.25">
      <c r="A283" s="11" t="s">
        <v>530</v>
      </c>
      <c r="B283" s="12" t="s">
        <v>531</v>
      </c>
      <c r="C283" s="11" t="s">
        <v>530</v>
      </c>
      <c r="D283" s="13" t="s">
        <v>2</v>
      </c>
      <c r="E283" s="14" t="s">
        <v>2</v>
      </c>
      <c r="F283" s="15" t="s">
        <v>967</v>
      </c>
      <c r="G283" s="16" t="s">
        <v>3</v>
      </c>
      <c r="H283" s="17">
        <v>10.88</v>
      </c>
      <c r="I283" s="17">
        <v>9.07</v>
      </c>
      <c r="J283" s="17">
        <v>6.9632000000000005</v>
      </c>
      <c r="K283" s="17">
        <v>8.16</v>
      </c>
      <c r="L283" s="18">
        <v>10.88</v>
      </c>
      <c r="M283" s="18">
        <v>9.07</v>
      </c>
      <c r="N283" s="17" t="s">
        <v>4</v>
      </c>
      <c r="O283" s="19">
        <v>100</v>
      </c>
      <c r="P283" s="19">
        <v>100</v>
      </c>
      <c r="Q283" s="19">
        <v>1000</v>
      </c>
      <c r="R283" s="11" t="s">
        <v>299</v>
      </c>
      <c r="S283" s="11" t="s">
        <v>500</v>
      </c>
      <c r="T283" s="20" t="s">
        <v>529</v>
      </c>
      <c r="U283" s="20"/>
      <c r="V283" s="16" t="s">
        <v>5</v>
      </c>
      <c r="W283" s="16" t="s">
        <v>10</v>
      </c>
      <c r="X283" s="16"/>
      <c r="Y283" s="21">
        <v>6.0000000000000001E-3</v>
      </c>
      <c r="Z283" s="22">
        <v>2.5000000000000001E-5</v>
      </c>
      <c r="AA283" s="17" t="s">
        <v>722</v>
      </c>
      <c r="AB283" s="17" t="s">
        <v>722</v>
      </c>
      <c r="AC283" s="21" t="s">
        <v>722</v>
      </c>
    </row>
    <row r="284" spans="1:29" ht="25.5" x14ac:dyDescent="0.25">
      <c r="A284" s="11" t="s">
        <v>532</v>
      </c>
      <c r="B284" s="12" t="s">
        <v>533</v>
      </c>
      <c r="C284" s="11" t="s">
        <v>532</v>
      </c>
      <c r="D284" s="13" t="s">
        <v>2</v>
      </c>
      <c r="E284" s="14" t="s">
        <v>2</v>
      </c>
      <c r="F284" s="15" t="s">
        <v>967</v>
      </c>
      <c r="G284" s="16" t="s">
        <v>3</v>
      </c>
      <c r="H284" s="17">
        <v>17.690000000000001</v>
      </c>
      <c r="I284" s="17">
        <v>14.74</v>
      </c>
      <c r="J284" s="17">
        <v>11.3216</v>
      </c>
      <c r="K284" s="17">
        <v>13.267500000000002</v>
      </c>
      <c r="L284" s="18">
        <v>17.690000000000001</v>
      </c>
      <c r="M284" s="18">
        <v>14.74</v>
      </c>
      <c r="N284" s="17" t="s">
        <v>4</v>
      </c>
      <c r="O284" s="19">
        <v>100</v>
      </c>
      <c r="P284" s="19">
        <v>100</v>
      </c>
      <c r="Q284" s="19">
        <v>1000</v>
      </c>
      <c r="R284" s="11" t="s">
        <v>299</v>
      </c>
      <c r="S284" s="11" t="s">
        <v>500</v>
      </c>
      <c r="T284" s="20" t="s">
        <v>529</v>
      </c>
      <c r="U284" s="20"/>
      <c r="V284" s="16" t="s">
        <v>5</v>
      </c>
      <c r="W284" s="16" t="s">
        <v>10</v>
      </c>
      <c r="X284" s="16"/>
      <c r="Y284" s="21">
        <v>8.0000000000000002E-3</v>
      </c>
      <c r="Z284" s="22">
        <v>2.5000000000000001E-5</v>
      </c>
      <c r="AA284" s="17" t="s">
        <v>722</v>
      </c>
      <c r="AB284" s="17" t="s">
        <v>722</v>
      </c>
      <c r="AC284" s="21" t="s">
        <v>722</v>
      </c>
    </row>
    <row r="285" spans="1:29" ht="25.5" x14ac:dyDescent="0.25">
      <c r="A285" s="11" t="s">
        <v>534</v>
      </c>
      <c r="B285" s="12" t="s">
        <v>535</v>
      </c>
      <c r="C285" s="11" t="s">
        <v>534</v>
      </c>
      <c r="D285" s="13" t="s">
        <v>2</v>
      </c>
      <c r="E285" s="14" t="s">
        <v>2</v>
      </c>
      <c r="F285" s="15" t="s">
        <v>967</v>
      </c>
      <c r="G285" s="16" t="s">
        <v>3</v>
      </c>
      <c r="H285" s="17">
        <v>22.61</v>
      </c>
      <c r="I285" s="17">
        <v>18.84</v>
      </c>
      <c r="J285" s="17">
        <v>14.4704</v>
      </c>
      <c r="K285" s="17">
        <v>16.9575</v>
      </c>
      <c r="L285" s="18">
        <v>22.61</v>
      </c>
      <c r="M285" s="18">
        <v>18.84</v>
      </c>
      <c r="N285" s="17" t="s">
        <v>4</v>
      </c>
      <c r="O285" s="19">
        <v>100</v>
      </c>
      <c r="P285" s="19">
        <v>100</v>
      </c>
      <c r="Q285" s="19">
        <v>500</v>
      </c>
      <c r="R285" s="11" t="s">
        <v>299</v>
      </c>
      <c r="S285" s="11" t="s">
        <v>500</v>
      </c>
      <c r="T285" s="20" t="s">
        <v>529</v>
      </c>
      <c r="U285" s="20"/>
      <c r="V285" s="16" t="s">
        <v>5</v>
      </c>
      <c r="W285" s="16" t="s">
        <v>10</v>
      </c>
      <c r="X285" s="16"/>
      <c r="Y285" s="21">
        <v>1.0999999999999999E-2</v>
      </c>
      <c r="Z285" s="22">
        <v>7.2000000000000002E-5</v>
      </c>
      <c r="AA285" s="17" t="s">
        <v>722</v>
      </c>
      <c r="AB285" s="17" t="s">
        <v>722</v>
      </c>
      <c r="AC285" s="21" t="s">
        <v>722</v>
      </c>
    </row>
    <row r="286" spans="1:29" ht="25.5" x14ac:dyDescent="0.25">
      <c r="A286" s="11" t="s">
        <v>536</v>
      </c>
      <c r="B286" s="12" t="s">
        <v>537</v>
      </c>
      <c r="C286" s="11" t="s">
        <v>536</v>
      </c>
      <c r="D286" s="13" t="s">
        <v>2</v>
      </c>
      <c r="E286" s="14" t="s">
        <v>2</v>
      </c>
      <c r="F286" s="15" t="s">
        <v>967</v>
      </c>
      <c r="G286" s="16" t="s">
        <v>3</v>
      </c>
      <c r="H286" s="17">
        <v>49.16</v>
      </c>
      <c r="I286" s="17">
        <v>40.97</v>
      </c>
      <c r="J286" s="17">
        <v>31.462399999999999</v>
      </c>
      <c r="K286" s="17">
        <v>36.869999999999997</v>
      </c>
      <c r="L286" s="18">
        <v>49.16</v>
      </c>
      <c r="M286" s="18">
        <v>40.97</v>
      </c>
      <c r="N286" s="17" t="s">
        <v>4</v>
      </c>
      <c r="O286" s="19">
        <v>100</v>
      </c>
      <c r="P286" s="19">
        <v>100</v>
      </c>
      <c r="Q286" s="19">
        <v>500</v>
      </c>
      <c r="R286" s="11" t="s">
        <v>299</v>
      </c>
      <c r="S286" s="11" t="s">
        <v>500</v>
      </c>
      <c r="T286" s="20" t="s">
        <v>529</v>
      </c>
      <c r="U286" s="20"/>
      <c r="V286" s="16" t="s">
        <v>5</v>
      </c>
      <c r="W286" s="16" t="s">
        <v>10</v>
      </c>
      <c r="X286" s="16"/>
      <c r="Y286" s="21">
        <v>1.7000000000000001E-2</v>
      </c>
      <c r="Z286" s="22">
        <v>3.1999999999999999E-5</v>
      </c>
      <c r="AA286" s="17" t="s">
        <v>722</v>
      </c>
      <c r="AB286" s="17" t="s">
        <v>722</v>
      </c>
      <c r="AC286" s="21" t="s">
        <v>722</v>
      </c>
    </row>
    <row r="287" spans="1:29" ht="25.5" x14ac:dyDescent="0.25">
      <c r="A287" s="11" t="s">
        <v>538</v>
      </c>
      <c r="B287" s="12" t="s">
        <v>539</v>
      </c>
      <c r="C287" s="11" t="s">
        <v>538</v>
      </c>
      <c r="D287" s="13" t="s">
        <v>2</v>
      </c>
      <c r="E287" s="14" t="s">
        <v>2</v>
      </c>
      <c r="F287" s="15" t="s">
        <v>967</v>
      </c>
      <c r="G287" s="16" t="s">
        <v>3</v>
      </c>
      <c r="H287" s="17">
        <v>212.98</v>
      </c>
      <c r="I287" s="17">
        <v>177.48</v>
      </c>
      <c r="J287" s="17">
        <v>136.30719999999999</v>
      </c>
      <c r="K287" s="17">
        <v>159.73499999999999</v>
      </c>
      <c r="L287" s="18">
        <v>212.98</v>
      </c>
      <c r="M287" s="18">
        <v>177.48</v>
      </c>
      <c r="N287" s="17" t="s">
        <v>4</v>
      </c>
      <c r="O287" s="19">
        <v>50</v>
      </c>
      <c r="P287" s="19">
        <v>50</v>
      </c>
      <c r="Q287" s="19">
        <v>1900</v>
      </c>
      <c r="R287" s="11" t="s">
        <v>299</v>
      </c>
      <c r="S287" s="11" t="s">
        <v>500</v>
      </c>
      <c r="T287" s="20" t="s">
        <v>540</v>
      </c>
      <c r="U287" s="20"/>
      <c r="V287" s="16" t="s">
        <v>5</v>
      </c>
      <c r="W287" s="16" t="s">
        <v>10</v>
      </c>
      <c r="X287" s="16"/>
      <c r="Y287" s="21">
        <v>0.01</v>
      </c>
      <c r="Z287" s="22">
        <v>9.9999999999999995E-7</v>
      </c>
      <c r="AA287" s="17" t="s">
        <v>722</v>
      </c>
      <c r="AB287" s="17" t="s">
        <v>722</v>
      </c>
      <c r="AC287" s="21" t="s">
        <v>722</v>
      </c>
    </row>
    <row r="288" spans="1:29" ht="25.5" x14ac:dyDescent="0.25">
      <c r="A288" s="11" t="s">
        <v>541</v>
      </c>
      <c r="B288" s="12" t="s">
        <v>542</v>
      </c>
      <c r="C288" s="11" t="s">
        <v>541</v>
      </c>
      <c r="D288" s="13" t="s">
        <v>2</v>
      </c>
      <c r="E288" s="14" t="s">
        <v>2</v>
      </c>
      <c r="F288" s="15" t="s">
        <v>967</v>
      </c>
      <c r="G288" s="16" t="s">
        <v>3</v>
      </c>
      <c r="H288" s="17">
        <v>259.7</v>
      </c>
      <c r="I288" s="17">
        <v>216.42</v>
      </c>
      <c r="J288" s="17">
        <v>166.208</v>
      </c>
      <c r="K288" s="17">
        <v>194.77499999999998</v>
      </c>
      <c r="L288" s="18">
        <v>259.7</v>
      </c>
      <c r="M288" s="18">
        <v>216.42</v>
      </c>
      <c r="N288" s="17" t="s">
        <v>4</v>
      </c>
      <c r="O288" s="19">
        <v>50</v>
      </c>
      <c r="P288" s="19">
        <v>50</v>
      </c>
      <c r="Q288" s="19">
        <v>900</v>
      </c>
      <c r="R288" s="11" t="s">
        <v>299</v>
      </c>
      <c r="S288" s="11" t="s">
        <v>500</v>
      </c>
      <c r="T288" s="20" t="s">
        <v>540</v>
      </c>
      <c r="U288" s="20"/>
      <c r="V288" s="16" t="s">
        <v>5</v>
      </c>
      <c r="W288" s="16" t="s">
        <v>10</v>
      </c>
      <c r="X288" s="16"/>
      <c r="Y288" s="21">
        <v>1.9599999999999999E-2</v>
      </c>
      <c r="Z288" s="22">
        <v>3.3799999999999998E-6</v>
      </c>
      <c r="AA288" s="17" t="s">
        <v>722</v>
      </c>
      <c r="AB288" s="17" t="s">
        <v>722</v>
      </c>
      <c r="AC288" s="21" t="s">
        <v>722</v>
      </c>
    </row>
    <row r="289" spans="1:29" ht="25.5" x14ac:dyDescent="0.25">
      <c r="A289" s="11" t="s">
        <v>543</v>
      </c>
      <c r="B289" s="12" t="s">
        <v>544</v>
      </c>
      <c r="C289" s="11" t="s">
        <v>543</v>
      </c>
      <c r="D289" s="13" t="s">
        <v>2</v>
      </c>
      <c r="E289" s="14" t="s">
        <v>2</v>
      </c>
      <c r="F289" s="15" t="s">
        <v>967</v>
      </c>
      <c r="G289" s="16" t="s">
        <v>3</v>
      </c>
      <c r="H289" s="17">
        <v>280.39</v>
      </c>
      <c r="I289" s="17">
        <v>233.66</v>
      </c>
      <c r="J289" s="17">
        <v>179.44959999999998</v>
      </c>
      <c r="K289" s="17">
        <v>210.29249999999999</v>
      </c>
      <c r="L289" s="18">
        <v>280.39</v>
      </c>
      <c r="M289" s="18">
        <v>233.66</v>
      </c>
      <c r="N289" s="17" t="s">
        <v>4</v>
      </c>
      <c r="O289" s="19">
        <v>20</v>
      </c>
      <c r="P289" s="19">
        <v>20</v>
      </c>
      <c r="Q289" s="19">
        <v>760</v>
      </c>
      <c r="R289" s="11" t="s">
        <v>299</v>
      </c>
      <c r="S289" s="11" t="s">
        <v>500</v>
      </c>
      <c r="T289" s="20" t="s">
        <v>540</v>
      </c>
      <c r="U289" s="20"/>
      <c r="V289" s="16" t="s">
        <v>5</v>
      </c>
      <c r="W289" s="16" t="s">
        <v>10</v>
      </c>
      <c r="X289" s="16"/>
      <c r="Y289" s="21">
        <v>2.2599999999999999E-2</v>
      </c>
      <c r="Z289" s="22">
        <v>4.5000000000000001E-6</v>
      </c>
      <c r="AA289" s="17" t="s">
        <v>722</v>
      </c>
      <c r="AB289" s="17" t="s">
        <v>722</v>
      </c>
      <c r="AC289" s="21" t="s">
        <v>722</v>
      </c>
    </row>
    <row r="290" spans="1:29" ht="25.5" x14ac:dyDescent="0.25">
      <c r="A290" s="11" t="s">
        <v>545</v>
      </c>
      <c r="B290" s="12" t="s">
        <v>546</v>
      </c>
      <c r="C290" s="11" t="s">
        <v>545</v>
      </c>
      <c r="D290" s="13" t="s">
        <v>2</v>
      </c>
      <c r="E290" s="14" t="s">
        <v>2</v>
      </c>
      <c r="F290" s="15" t="s">
        <v>967</v>
      </c>
      <c r="G290" s="16" t="s">
        <v>3</v>
      </c>
      <c r="H290" s="17">
        <v>337.62</v>
      </c>
      <c r="I290" s="17">
        <v>281.35000000000002</v>
      </c>
      <c r="J290" s="17">
        <v>216.07679999999999</v>
      </c>
      <c r="K290" s="17">
        <v>253.215</v>
      </c>
      <c r="L290" s="18">
        <v>337.62</v>
      </c>
      <c r="M290" s="18">
        <v>281.35000000000002</v>
      </c>
      <c r="N290" s="17" t="s">
        <v>4</v>
      </c>
      <c r="O290" s="19">
        <v>20</v>
      </c>
      <c r="P290" s="19">
        <v>20</v>
      </c>
      <c r="Q290" s="19">
        <v>500</v>
      </c>
      <c r="R290" s="11" t="s">
        <v>299</v>
      </c>
      <c r="S290" s="11" t="s">
        <v>500</v>
      </c>
      <c r="T290" s="20" t="s">
        <v>540</v>
      </c>
      <c r="U290" s="20"/>
      <c r="V290" s="16" t="s">
        <v>5</v>
      </c>
      <c r="W290" s="16" t="s">
        <v>10</v>
      </c>
      <c r="X290" s="16"/>
      <c r="Y290" s="21">
        <v>2.8000000000000001E-2</v>
      </c>
      <c r="Z290" s="22">
        <v>1.0000000000000001E-5</v>
      </c>
      <c r="AA290" s="17" t="s">
        <v>722</v>
      </c>
      <c r="AB290" s="17" t="s">
        <v>722</v>
      </c>
      <c r="AC290" s="21" t="s">
        <v>722</v>
      </c>
    </row>
    <row r="291" spans="1:29" ht="25.5" x14ac:dyDescent="0.25">
      <c r="A291" s="11" t="s">
        <v>547</v>
      </c>
      <c r="B291" s="12" t="s">
        <v>548</v>
      </c>
      <c r="C291" s="11" t="s">
        <v>547</v>
      </c>
      <c r="D291" s="13" t="s">
        <v>2</v>
      </c>
      <c r="E291" s="14" t="s">
        <v>2</v>
      </c>
      <c r="F291" s="15" t="s">
        <v>967</v>
      </c>
      <c r="G291" s="16" t="s">
        <v>3</v>
      </c>
      <c r="H291" s="17">
        <v>379.87</v>
      </c>
      <c r="I291" s="17">
        <v>316.56</v>
      </c>
      <c r="J291" s="17">
        <v>243.11680000000001</v>
      </c>
      <c r="K291" s="17">
        <v>284.90250000000003</v>
      </c>
      <c r="L291" s="18">
        <v>379.87</v>
      </c>
      <c r="M291" s="18">
        <v>316.56</v>
      </c>
      <c r="N291" s="17" t="s">
        <v>4</v>
      </c>
      <c r="O291" s="19">
        <v>20</v>
      </c>
      <c r="P291" s="19">
        <v>20</v>
      </c>
      <c r="Q291" s="19">
        <v>420</v>
      </c>
      <c r="R291" s="11" t="s">
        <v>299</v>
      </c>
      <c r="S291" s="11" t="s">
        <v>500</v>
      </c>
      <c r="T291" s="20" t="s">
        <v>540</v>
      </c>
      <c r="U291" s="20"/>
      <c r="V291" s="16" t="s">
        <v>5</v>
      </c>
      <c r="W291" s="16" t="s">
        <v>10</v>
      </c>
      <c r="X291" s="16"/>
      <c r="Y291" s="21">
        <v>3.1600000000000003E-2</v>
      </c>
      <c r="Z291" s="22">
        <v>2.0000000000000002E-5</v>
      </c>
      <c r="AA291" s="17" t="s">
        <v>722</v>
      </c>
      <c r="AB291" s="17" t="s">
        <v>722</v>
      </c>
      <c r="AC291" s="21" t="s">
        <v>722</v>
      </c>
    </row>
    <row r="292" spans="1:29" ht="25.5" x14ac:dyDescent="0.25">
      <c r="A292" s="11" t="s">
        <v>549</v>
      </c>
      <c r="B292" s="12" t="s">
        <v>550</v>
      </c>
      <c r="C292" s="11" t="s">
        <v>549</v>
      </c>
      <c r="D292" s="13" t="s">
        <v>2</v>
      </c>
      <c r="E292" s="14" t="s">
        <v>2</v>
      </c>
      <c r="F292" s="15" t="s">
        <v>967</v>
      </c>
      <c r="G292" s="16" t="s">
        <v>3</v>
      </c>
      <c r="H292" s="17">
        <v>454.5</v>
      </c>
      <c r="I292" s="17">
        <v>378.75</v>
      </c>
      <c r="J292" s="17">
        <v>290.88</v>
      </c>
      <c r="K292" s="17">
        <v>340.875</v>
      </c>
      <c r="L292" s="18">
        <v>454.5</v>
      </c>
      <c r="M292" s="18">
        <v>378.75</v>
      </c>
      <c r="N292" s="17" t="s">
        <v>4</v>
      </c>
      <c r="O292" s="19">
        <v>20</v>
      </c>
      <c r="P292" s="19">
        <v>20</v>
      </c>
      <c r="Q292" s="19">
        <v>400</v>
      </c>
      <c r="R292" s="11" t="s">
        <v>299</v>
      </c>
      <c r="S292" s="11" t="s">
        <v>500</v>
      </c>
      <c r="T292" s="20" t="s">
        <v>540</v>
      </c>
      <c r="U292" s="20"/>
      <c r="V292" s="16" t="s">
        <v>5</v>
      </c>
      <c r="W292" s="16" t="s">
        <v>10</v>
      </c>
      <c r="X292" s="16"/>
      <c r="Y292" s="21">
        <v>4.2999999999999997E-2</v>
      </c>
      <c r="Z292" s="22">
        <v>2.0000000000000002E-5</v>
      </c>
      <c r="AA292" s="17" t="s">
        <v>722</v>
      </c>
      <c r="AB292" s="17" t="s">
        <v>722</v>
      </c>
      <c r="AC292" s="21" t="s">
        <v>722</v>
      </c>
    </row>
    <row r="293" spans="1:29" ht="25.5" x14ac:dyDescent="0.25">
      <c r="A293" s="11" t="s">
        <v>551</v>
      </c>
      <c r="B293" s="12" t="s">
        <v>552</v>
      </c>
      <c r="C293" s="11" t="s">
        <v>551</v>
      </c>
      <c r="D293" s="13" t="s">
        <v>2</v>
      </c>
      <c r="E293" s="14" t="s">
        <v>2</v>
      </c>
      <c r="F293" s="15" t="s">
        <v>967</v>
      </c>
      <c r="G293" s="16" t="s">
        <v>3</v>
      </c>
      <c r="H293" s="17">
        <v>584.38</v>
      </c>
      <c r="I293" s="17">
        <v>486.98</v>
      </c>
      <c r="J293" s="17">
        <v>374.00319999999999</v>
      </c>
      <c r="K293" s="17">
        <v>438.28499999999997</v>
      </c>
      <c r="L293" s="18">
        <v>584.38</v>
      </c>
      <c r="M293" s="18">
        <v>486.98</v>
      </c>
      <c r="N293" s="17" t="s">
        <v>4</v>
      </c>
      <c r="O293" s="19">
        <v>10</v>
      </c>
      <c r="P293" s="19">
        <v>10</v>
      </c>
      <c r="Q293" s="19">
        <v>320</v>
      </c>
      <c r="R293" s="11" t="s">
        <v>299</v>
      </c>
      <c r="S293" s="11" t="s">
        <v>500</v>
      </c>
      <c r="T293" s="20" t="s">
        <v>540</v>
      </c>
      <c r="U293" s="20"/>
      <c r="V293" s="16" t="s">
        <v>5</v>
      </c>
      <c r="W293" s="16" t="s">
        <v>10</v>
      </c>
      <c r="X293" s="16"/>
      <c r="Y293" s="21">
        <v>5.4199999999999998E-2</v>
      </c>
      <c r="Z293" s="22">
        <v>2.0000000000000002E-5</v>
      </c>
      <c r="AA293" s="17" t="s">
        <v>722</v>
      </c>
      <c r="AB293" s="17" t="s">
        <v>722</v>
      </c>
      <c r="AC293" s="21" t="s">
        <v>722</v>
      </c>
    </row>
    <row r="294" spans="1:29" ht="25.5" x14ac:dyDescent="0.25">
      <c r="A294" s="11" t="s">
        <v>553</v>
      </c>
      <c r="B294" s="12" t="s">
        <v>554</v>
      </c>
      <c r="C294" s="11" t="s">
        <v>553</v>
      </c>
      <c r="D294" s="13" t="s">
        <v>2</v>
      </c>
      <c r="E294" s="14" t="s">
        <v>2</v>
      </c>
      <c r="F294" s="15" t="s">
        <v>967</v>
      </c>
      <c r="G294" s="16" t="s">
        <v>3</v>
      </c>
      <c r="H294" s="17">
        <v>779.14</v>
      </c>
      <c r="I294" s="17">
        <v>649.28</v>
      </c>
      <c r="J294" s="17">
        <v>498.64959999999996</v>
      </c>
      <c r="K294" s="17">
        <v>584.35500000000002</v>
      </c>
      <c r="L294" s="18">
        <v>779.14</v>
      </c>
      <c r="M294" s="18">
        <v>649.28</v>
      </c>
      <c r="N294" s="17" t="s">
        <v>4</v>
      </c>
      <c r="O294" s="19">
        <v>10</v>
      </c>
      <c r="P294" s="19">
        <v>10</v>
      </c>
      <c r="Q294" s="19">
        <v>270</v>
      </c>
      <c r="R294" s="11" t="s">
        <v>299</v>
      </c>
      <c r="S294" s="11" t="s">
        <v>500</v>
      </c>
      <c r="T294" s="20" t="s">
        <v>540</v>
      </c>
      <c r="U294" s="20"/>
      <c r="V294" s="16" t="s">
        <v>5</v>
      </c>
      <c r="W294" s="16" t="s">
        <v>10</v>
      </c>
      <c r="X294" s="16"/>
      <c r="Y294" s="21">
        <v>6.2399999999999997E-2</v>
      </c>
      <c r="Z294" s="22">
        <v>3.0000000000000001E-5</v>
      </c>
      <c r="AA294" s="17" t="s">
        <v>722</v>
      </c>
      <c r="AB294" s="17" t="s">
        <v>722</v>
      </c>
      <c r="AC294" s="21" t="s">
        <v>722</v>
      </c>
    </row>
    <row r="295" spans="1:29" ht="25.5" x14ac:dyDescent="0.25">
      <c r="A295" s="11" t="s">
        <v>555</v>
      </c>
      <c r="B295" s="12" t="s">
        <v>556</v>
      </c>
      <c r="C295" s="11" t="s">
        <v>555</v>
      </c>
      <c r="D295" s="13" t="s">
        <v>2</v>
      </c>
      <c r="E295" s="14" t="s">
        <v>2</v>
      </c>
      <c r="F295" s="15" t="s">
        <v>967</v>
      </c>
      <c r="G295" s="16" t="s">
        <v>3</v>
      </c>
      <c r="H295" s="17">
        <v>891.89</v>
      </c>
      <c r="I295" s="17">
        <v>743.24</v>
      </c>
      <c r="J295" s="17">
        <v>570.80960000000005</v>
      </c>
      <c r="K295" s="17">
        <v>668.91750000000002</v>
      </c>
      <c r="L295" s="18">
        <v>891.89</v>
      </c>
      <c r="M295" s="18">
        <v>743.24</v>
      </c>
      <c r="N295" s="17" t="s">
        <v>4</v>
      </c>
      <c r="O295" s="19">
        <v>10</v>
      </c>
      <c r="P295" s="19">
        <v>10</v>
      </c>
      <c r="Q295" s="19">
        <v>220</v>
      </c>
      <c r="R295" s="11" t="s">
        <v>299</v>
      </c>
      <c r="S295" s="11" t="s">
        <v>500</v>
      </c>
      <c r="T295" s="20" t="s">
        <v>540</v>
      </c>
      <c r="U295" s="20"/>
      <c r="V295" s="16" t="s">
        <v>5</v>
      </c>
      <c r="W295" s="16" t="s">
        <v>10</v>
      </c>
      <c r="X295" s="16"/>
      <c r="Y295" s="21">
        <v>6.8699999999999997E-2</v>
      </c>
      <c r="Z295" s="22">
        <v>4.0000000000000003E-5</v>
      </c>
      <c r="AA295" s="17" t="s">
        <v>722</v>
      </c>
      <c r="AB295" s="17" t="s">
        <v>722</v>
      </c>
      <c r="AC295" s="21" t="s">
        <v>722</v>
      </c>
    </row>
    <row r="296" spans="1:29" ht="25.5" x14ac:dyDescent="0.25">
      <c r="A296" s="11" t="s">
        <v>557</v>
      </c>
      <c r="B296" s="12" t="s">
        <v>558</v>
      </c>
      <c r="C296" s="11" t="s">
        <v>557</v>
      </c>
      <c r="D296" s="13" t="s">
        <v>2</v>
      </c>
      <c r="E296" s="14" t="s">
        <v>2</v>
      </c>
      <c r="F296" s="15" t="s">
        <v>967</v>
      </c>
      <c r="G296" s="16" t="s">
        <v>3</v>
      </c>
      <c r="H296" s="17">
        <v>1168.71</v>
      </c>
      <c r="I296" s="17">
        <v>973.93</v>
      </c>
      <c r="J296" s="17">
        <v>747.97440000000006</v>
      </c>
      <c r="K296" s="17">
        <v>876.53250000000003</v>
      </c>
      <c r="L296" s="18">
        <v>1168.71</v>
      </c>
      <c r="M296" s="18">
        <v>973.93</v>
      </c>
      <c r="N296" s="17" t="s">
        <v>4</v>
      </c>
      <c r="O296" s="19">
        <v>2</v>
      </c>
      <c r="P296" s="19">
        <v>2</v>
      </c>
      <c r="Q296" s="19">
        <v>120</v>
      </c>
      <c r="R296" s="11" t="s">
        <v>299</v>
      </c>
      <c r="S296" s="11" t="s">
        <v>500</v>
      </c>
      <c r="T296" s="20" t="s">
        <v>540</v>
      </c>
      <c r="U296" s="20"/>
      <c r="V296" s="16" t="s">
        <v>5</v>
      </c>
      <c r="W296" s="16" t="s">
        <v>10</v>
      </c>
      <c r="X296" s="16"/>
      <c r="Y296" s="21">
        <v>0.13120000000000001</v>
      </c>
      <c r="Z296" s="22">
        <v>6.0000000000000002E-5</v>
      </c>
      <c r="AA296" s="17" t="s">
        <v>722</v>
      </c>
      <c r="AB296" s="17" t="s">
        <v>722</v>
      </c>
      <c r="AC296" s="21" t="s">
        <v>722</v>
      </c>
    </row>
    <row r="297" spans="1:29" ht="25.5" x14ac:dyDescent="0.25">
      <c r="A297" s="11" t="s">
        <v>559</v>
      </c>
      <c r="B297" s="12" t="s">
        <v>560</v>
      </c>
      <c r="C297" s="11" t="s">
        <v>559</v>
      </c>
      <c r="D297" s="13" t="s">
        <v>2</v>
      </c>
      <c r="E297" s="14" t="s">
        <v>2</v>
      </c>
      <c r="F297" s="15" t="s">
        <v>967</v>
      </c>
      <c r="G297" s="16" t="s">
        <v>3</v>
      </c>
      <c r="H297" s="17">
        <v>1973.84</v>
      </c>
      <c r="I297" s="17">
        <v>1644.87</v>
      </c>
      <c r="J297" s="17">
        <v>1263.2575999999999</v>
      </c>
      <c r="K297" s="17">
        <v>1480.3799999999999</v>
      </c>
      <c r="L297" s="18">
        <v>1973.84</v>
      </c>
      <c r="M297" s="18">
        <v>1644.87</v>
      </c>
      <c r="N297" s="17" t="s">
        <v>4</v>
      </c>
      <c r="O297" s="19">
        <v>2</v>
      </c>
      <c r="P297" s="19">
        <v>2</v>
      </c>
      <c r="Q297" s="19">
        <v>80</v>
      </c>
      <c r="R297" s="11" t="s">
        <v>299</v>
      </c>
      <c r="S297" s="11" t="s">
        <v>500</v>
      </c>
      <c r="T297" s="20" t="s">
        <v>540</v>
      </c>
      <c r="U297" s="20"/>
      <c r="V297" s="16" t="s">
        <v>5</v>
      </c>
      <c r="W297" s="16" t="s">
        <v>10</v>
      </c>
      <c r="X297" s="16"/>
      <c r="Y297" s="21">
        <v>0.185</v>
      </c>
      <c r="Z297" s="22">
        <v>8.0000000000000007E-5</v>
      </c>
      <c r="AA297" s="17" t="s">
        <v>722</v>
      </c>
      <c r="AB297" s="17" t="s">
        <v>722</v>
      </c>
      <c r="AC297" s="21" t="s">
        <v>722</v>
      </c>
    </row>
    <row r="298" spans="1:29" ht="25.5" x14ac:dyDescent="0.25">
      <c r="A298" s="11" t="s">
        <v>561</v>
      </c>
      <c r="B298" s="12" t="s">
        <v>562</v>
      </c>
      <c r="C298" s="11" t="s">
        <v>561</v>
      </c>
      <c r="D298" s="13" t="s">
        <v>2</v>
      </c>
      <c r="E298" s="14" t="s">
        <v>2</v>
      </c>
      <c r="F298" s="15" t="s">
        <v>967</v>
      </c>
      <c r="G298" s="16" t="s">
        <v>3</v>
      </c>
      <c r="H298" s="17">
        <v>2499.16</v>
      </c>
      <c r="I298" s="17">
        <v>2082.63</v>
      </c>
      <c r="J298" s="17">
        <v>1599.4623999999999</v>
      </c>
      <c r="K298" s="17">
        <v>1874.37</v>
      </c>
      <c r="L298" s="18">
        <v>2499.16</v>
      </c>
      <c r="M298" s="18">
        <v>2082.63</v>
      </c>
      <c r="N298" s="17" t="s">
        <v>4</v>
      </c>
      <c r="O298" s="19">
        <v>1</v>
      </c>
      <c r="P298" s="19">
        <v>1</v>
      </c>
      <c r="Q298" s="19">
        <v>60</v>
      </c>
      <c r="R298" s="11" t="s">
        <v>299</v>
      </c>
      <c r="S298" s="11" t="s">
        <v>500</v>
      </c>
      <c r="T298" s="20" t="s">
        <v>540</v>
      </c>
      <c r="U298" s="20"/>
      <c r="V298" s="16" t="s">
        <v>5</v>
      </c>
      <c r="W298" s="16" t="s">
        <v>10</v>
      </c>
      <c r="X298" s="16"/>
      <c r="Y298" s="21">
        <v>0.36599999999999999</v>
      </c>
      <c r="Z298" s="22">
        <v>1.9220000000000001E-4</v>
      </c>
      <c r="AA298" s="17" t="s">
        <v>722</v>
      </c>
      <c r="AB298" s="17" t="s">
        <v>722</v>
      </c>
      <c r="AC298" s="21" t="s">
        <v>722</v>
      </c>
    </row>
    <row r="299" spans="1:29" ht="25.5" x14ac:dyDescent="0.25">
      <c r="A299" s="11" t="s">
        <v>563</v>
      </c>
      <c r="B299" s="12" t="s">
        <v>564</v>
      </c>
      <c r="C299" s="11" t="s">
        <v>563</v>
      </c>
      <c r="D299" s="13" t="s">
        <v>2</v>
      </c>
      <c r="E299" s="14" t="s">
        <v>2</v>
      </c>
      <c r="F299" s="15" t="s">
        <v>967</v>
      </c>
      <c r="G299" s="16" t="s">
        <v>3</v>
      </c>
      <c r="H299" s="17">
        <v>3577.57</v>
      </c>
      <c r="I299" s="17">
        <v>2981.31</v>
      </c>
      <c r="J299" s="17">
        <v>2289.6448</v>
      </c>
      <c r="K299" s="17">
        <v>2683.1775000000002</v>
      </c>
      <c r="L299" s="18">
        <v>3577.57</v>
      </c>
      <c r="M299" s="18">
        <v>2981.31</v>
      </c>
      <c r="N299" s="17" t="s">
        <v>4</v>
      </c>
      <c r="O299" s="19">
        <v>1</v>
      </c>
      <c r="P299" s="19">
        <v>1</v>
      </c>
      <c r="Q299" s="19">
        <v>40</v>
      </c>
      <c r="R299" s="11" t="s">
        <v>299</v>
      </c>
      <c r="S299" s="11" t="s">
        <v>500</v>
      </c>
      <c r="T299" s="20" t="s">
        <v>540</v>
      </c>
      <c r="U299" s="20"/>
      <c r="V299" s="16" t="s">
        <v>5</v>
      </c>
      <c r="W299" s="16" t="s">
        <v>10</v>
      </c>
      <c r="X299" s="16"/>
      <c r="Y299" s="21">
        <v>0.35099999999999998</v>
      </c>
      <c r="Z299" s="22">
        <v>3.4499999999999998E-4</v>
      </c>
      <c r="AA299" s="17" t="s">
        <v>722</v>
      </c>
      <c r="AB299" s="17" t="s">
        <v>722</v>
      </c>
      <c r="AC299" s="21" t="s">
        <v>722</v>
      </c>
    </row>
    <row r="300" spans="1:29" ht="25.5" x14ac:dyDescent="0.25">
      <c r="A300" s="11" t="s">
        <v>565</v>
      </c>
      <c r="B300" s="12" t="s">
        <v>566</v>
      </c>
      <c r="C300" s="11" t="s">
        <v>565</v>
      </c>
      <c r="D300" s="13" t="s">
        <v>2</v>
      </c>
      <c r="E300" s="14" t="s">
        <v>2</v>
      </c>
      <c r="F300" s="15" t="s">
        <v>967</v>
      </c>
      <c r="G300" s="16" t="s">
        <v>3</v>
      </c>
      <c r="H300" s="17">
        <v>7791.48</v>
      </c>
      <c r="I300" s="17">
        <v>6492.9</v>
      </c>
      <c r="J300" s="17">
        <v>4986.5472</v>
      </c>
      <c r="K300" s="17">
        <v>5843.61</v>
      </c>
      <c r="L300" s="18">
        <v>7791.48</v>
      </c>
      <c r="M300" s="18">
        <v>6492.9</v>
      </c>
      <c r="N300" s="17" t="s">
        <v>4</v>
      </c>
      <c r="O300" s="19">
        <v>1</v>
      </c>
      <c r="P300" s="19">
        <v>1</v>
      </c>
      <c r="Q300" s="19">
        <v>30</v>
      </c>
      <c r="R300" s="11" t="s">
        <v>299</v>
      </c>
      <c r="S300" s="11" t="s">
        <v>500</v>
      </c>
      <c r="T300" s="20" t="s">
        <v>540</v>
      </c>
      <c r="U300" s="20"/>
      <c r="V300" s="16" t="s">
        <v>5</v>
      </c>
      <c r="W300" s="16" t="s">
        <v>10</v>
      </c>
      <c r="X300" s="16"/>
      <c r="Y300" s="21">
        <v>0.58499999999999996</v>
      </c>
      <c r="Z300" s="22">
        <v>4.6099999999999998E-4</v>
      </c>
      <c r="AA300" s="17" t="s">
        <v>722</v>
      </c>
      <c r="AB300" s="17" t="s">
        <v>722</v>
      </c>
      <c r="AC300" s="21" t="s">
        <v>722</v>
      </c>
    </row>
    <row r="301" spans="1:29" x14ac:dyDescent="0.25">
      <c r="A301" s="11"/>
      <c r="B301" s="12"/>
      <c r="C301" s="11"/>
      <c r="D301" s="13"/>
      <c r="E301" s="14"/>
      <c r="F301" s="15"/>
      <c r="G301" s="16"/>
      <c r="H301" s="17"/>
      <c r="I301" s="17"/>
      <c r="J301" s="17"/>
      <c r="K301" s="17"/>
      <c r="L301" s="18"/>
      <c r="M301" s="18"/>
      <c r="N301" s="17"/>
      <c r="O301" s="19"/>
      <c r="P301" s="19"/>
      <c r="Q301" s="19"/>
      <c r="R301" s="11"/>
      <c r="S301" s="11"/>
      <c r="T301" s="20"/>
      <c r="U301" s="20"/>
      <c r="V301" s="16"/>
      <c r="W301" s="16"/>
      <c r="X301" s="16"/>
      <c r="Y301" s="21"/>
      <c r="Z301" s="22"/>
      <c r="AA301" s="17"/>
      <c r="AB301" s="17"/>
      <c r="AC301" s="21"/>
    </row>
    <row r="302" spans="1:29" ht="25.5" x14ac:dyDescent="0.25">
      <c r="A302" s="11" t="s">
        <v>567</v>
      </c>
      <c r="B302" s="12" t="s">
        <v>568</v>
      </c>
      <c r="C302" s="11" t="s">
        <v>567</v>
      </c>
      <c r="D302" s="13" t="s">
        <v>2</v>
      </c>
      <c r="E302" s="14" t="s">
        <v>2</v>
      </c>
      <c r="F302" s="15" t="s">
        <v>967</v>
      </c>
      <c r="G302" s="16" t="s">
        <v>3</v>
      </c>
      <c r="H302" s="17">
        <v>2736.09</v>
      </c>
      <c r="I302" s="17">
        <v>2280.08</v>
      </c>
      <c r="J302" s="17">
        <v>1751.0976000000001</v>
      </c>
      <c r="K302" s="17">
        <v>2052.0675000000001</v>
      </c>
      <c r="L302" s="18">
        <v>2736.09</v>
      </c>
      <c r="M302" s="18">
        <v>2280.08</v>
      </c>
      <c r="N302" s="17" t="s">
        <v>4</v>
      </c>
      <c r="O302" s="19">
        <v>1</v>
      </c>
      <c r="P302" s="19">
        <v>1</v>
      </c>
      <c r="Q302" s="19">
        <v>32</v>
      </c>
      <c r="R302" s="11" t="s">
        <v>299</v>
      </c>
      <c r="S302" s="11" t="s">
        <v>500</v>
      </c>
      <c r="T302" s="20" t="s">
        <v>569</v>
      </c>
      <c r="U302" s="20"/>
      <c r="V302" s="16" t="s">
        <v>5</v>
      </c>
      <c r="W302" s="16" t="s">
        <v>10</v>
      </c>
      <c r="X302" s="16"/>
      <c r="Y302" s="21">
        <v>0.157</v>
      </c>
      <c r="Z302" s="22">
        <v>1.09E-3</v>
      </c>
      <c r="AA302" s="17" t="s">
        <v>722</v>
      </c>
      <c r="AB302" s="17" t="s">
        <v>722</v>
      </c>
      <c r="AC302" s="21" t="s">
        <v>722</v>
      </c>
    </row>
    <row r="303" spans="1:29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</row>
    <row r="304" spans="1:29" ht="25.5" x14ac:dyDescent="0.25">
      <c r="A304" s="11" t="s">
        <v>15</v>
      </c>
      <c r="B304" s="12" t="s">
        <v>16</v>
      </c>
      <c r="C304" s="11" t="s">
        <v>15</v>
      </c>
      <c r="D304" s="13" t="s">
        <v>2</v>
      </c>
      <c r="E304" s="14" t="s">
        <v>2</v>
      </c>
      <c r="F304" s="15" t="s">
        <v>968</v>
      </c>
      <c r="G304" s="16" t="s">
        <v>11</v>
      </c>
      <c r="H304" s="17">
        <v>2913.21</v>
      </c>
      <c r="I304" s="17">
        <v>2427.6799999999998</v>
      </c>
      <c r="J304" s="17">
        <f>H304-(36 *H304/100)</f>
        <v>1864.4544000000001</v>
      </c>
      <c r="K304" s="17">
        <f>H304-(25 *H304/100)</f>
        <v>2184.9075000000003</v>
      </c>
      <c r="L304" s="18" t="e">
        <f>IF(H304="","",H304*(1-#REF!))</f>
        <v>#REF!</v>
      </c>
      <c r="M304" s="18" t="e">
        <f>IF(I304="","",I304*(1-#REF!))</f>
        <v>#REF!</v>
      </c>
      <c r="N304" s="17" t="s">
        <v>4</v>
      </c>
      <c r="O304" s="19">
        <v>1</v>
      </c>
      <c r="P304" s="19">
        <v>1</v>
      </c>
      <c r="Q304" s="19">
        <v>1</v>
      </c>
      <c r="R304" s="11" t="s">
        <v>12</v>
      </c>
      <c r="S304" s="11" t="s">
        <v>13</v>
      </c>
      <c r="T304" s="20" t="s">
        <v>14</v>
      </c>
      <c r="U304" s="20"/>
      <c r="V304" s="16" t="s">
        <v>5</v>
      </c>
      <c r="W304" s="16" t="s">
        <v>8</v>
      </c>
      <c r="X304" s="16"/>
      <c r="Y304" s="21">
        <v>0.1</v>
      </c>
      <c r="Z304" s="22">
        <v>6.8000000000000005E-4</v>
      </c>
      <c r="AA304" s="17" t="e">
        <f>IF(OR(F304="",L304=""),"",F304*L304)</f>
        <v>#REF!</v>
      </c>
      <c r="AB304" s="17" t="e">
        <f>IF(OR(F304="",Y304=""),"",Y304*F304)</f>
        <v>#VALUE!</v>
      </c>
      <c r="AC304" s="21" t="e">
        <f>IF(OR(F304="",Z304=""),"",F304*Z304)</f>
        <v>#VALUE!</v>
      </c>
    </row>
    <row r="305" spans="1:29" ht="25.5" x14ac:dyDescent="0.25">
      <c r="A305" s="11" t="s">
        <v>17</v>
      </c>
      <c r="B305" s="12" t="s">
        <v>18</v>
      </c>
      <c r="C305" s="11" t="s">
        <v>17</v>
      </c>
      <c r="D305" s="13" t="s">
        <v>2</v>
      </c>
      <c r="E305" s="14" t="s">
        <v>2</v>
      </c>
      <c r="F305" s="15" t="s">
        <v>968</v>
      </c>
      <c r="G305" s="16" t="s">
        <v>11</v>
      </c>
      <c r="H305" s="17">
        <v>3849.55</v>
      </c>
      <c r="I305" s="17">
        <v>3207.96</v>
      </c>
      <c r="J305" s="17">
        <f>H305-(36 *H305/100)</f>
        <v>2463.712</v>
      </c>
      <c r="K305" s="17">
        <f>H305-(25 *H305/100)</f>
        <v>2887.1625000000004</v>
      </c>
      <c r="L305" s="18" t="e">
        <f>IF(H305="","",H305*(1-#REF!))</f>
        <v>#REF!</v>
      </c>
      <c r="M305" s="18" t="e">
        <f>IF(I305="","",I305*(1-#REF!))</f>
        <v>#REF!</v>
      </c>
      <c r="N305" s="17" t="s">
        <v>4</v>
      </c>
      <c r="O305" s="19">
        <v>1</v>
      </c>
      <c r="P305" s="19">
        <v>1</v>
      </c>
      <c r="Q305" s="19">
        <v>1</v>
      </c>
      <c r="R305" s="11" t="s">
        <v>12</v>
      </c>
      <c r="S305" s="11" t="s">
        <v>13</v>
      </c>
      <c r="T305" s="20" t="s">
        <v>14</v>
      </c>
      <c r="U305" s="20"/>
      <c r="V305" s="16" t="s">
        <v>5</v>
      </c>
      <c r="W305" s="16" t="s">
        <v>8</v>
      </c>
      <c r="X305" s="16"/>
      <c r="Y305" s="21">
        <v>0.1</v>
      </c>
      <c r="Z305" s="22">
        <v>8.8000000000000003E-4</v>
      </c>
      <c r="AA305" s="17" t="e">
        <f>IF(OR(F305="",L305=""),"",F305*L305)</f>
        <v>#REF!</v>
      </c>
      <c r="AB305" s="17" t="e">
        <f>IF(OR(F305="",Y305=""),"",Y305*F305)</f>
        <v>#VALUE!</v>
      </c>
      <c r="AC305" s="21" t="e">
        <f>IF(OR(F305="",Z305=""),"",F305*Z305)</f>
        <v>#VALUE!</v>
      </c>
    </row>
    <row r="306" spans="1:29" x14ac:dyDescent="0.25">
      <c r="A306" s="448" t="s">
        <v>903</v>
      </c>
      <c r="B306" s="448"/>
      <c r="C306" s="448"/>
      <c r="D306" s="448"/>
      <c r="E306" s="448"/>
      <c r="F306" s="448"/>
      <c r="G306" s="448"/>
      <c r="H306" s="448"/>
      <c r="I306" s="448"/>
      <c r="J306" s="448"/>
      <c r="K306" s="448"/>
      <c r="L306" s="448"/>
      <c r="M306" s="448"/>
      <c r="N306" s="448"/>
      <c r="O306" s="448"/>
      <c r="P306" s="448"/>
      <c r="Q306" s="448"/>
      <c r="R306" s="448"/>
      <c r="S306" s="448"/>
      <c r="T306" s="448"/>
      <c r="U306" s="448"/>
      <c r="V306" s="448"/>
      <c r="W306" s="448"/>
      <c r="X306" s="448"/>
      <c r="Y306" s="448"/>
      <c r="Z306" s="448"/>
      <c r="AA306" s="448"/>
      <c r="AB306" s="448"/>
      <c r="AC306" s="448"/>
    </row>
    <row r="307" spans="1:29" ht="25.5" x14ac:dyDescent="0.25">
      <c r="A307" s="71" t="s">
        <v>331</v>
      </c>
      <c r="B307" s="72" t="s">
        <v>332</v>
      </c>
      <c r="C307" s="71" t="s">
        <v>331</v>
      </c>
      <c r="D307" s="73" t="s">
        <v>2</v>
      </c>
      <c r="E307" s="74" t="s">
        <v>2</v>
      </c>
      <c r="F307" s="75" t="s">
        <v>968</v>
      </c>
      <c r="G307" s="76" t="s">
        <v>3</v>
      </c>
      <c r="H307" s="77">
        <v>73.84</v>
      </c>
      <c r="I307" s="77">
        <v>61.53</v>
      </c>
      <c r="J307" s="77">
        <f t="shared" ref="J307:J314" si="31">H307-(36 *H307/100)</f>
        <v>47.257599999999996</v>
      </c>
      <c r="K307" s="77">
        <f t="shared" ref="K307:K314" si="32">H307-(25 *H307/100)</f>
        <v>55.38</v>
      </c>
      <c r="L307" s="78">
        <f t="shared" ref="L307:M314" si="33">IF(H307="","",H307*(1-$H$310))</f>
        <v>-19512.9584</v>
      </c>
      <c r="M307" s="78">
        <f t="shared" si="33"/>
        <v>-16259.917799999999</v>
      </c>
      <c r="N307" s="77" t="s">
        <v>4</v>
      </c>
      <c r="O307" s="79">
        <v>100</v>
      </c>
      <c r="P307" s="79">
        <v>10</v>
      </c>
      <c r="Q307" s="79">
        <v>100</v>
      </c>
      <c r="R307" s="71" t="s">
        <v>299</v>
      </c>
      <c r="S307" s="71" t="s">
        <v>327</v>
      </c>
      <c r="T307" s="80" t="s">
        <v>328</v>
      </c>
      <c r="U307" s="80" t="s">
        <v>329</v>
      </c>
      <c r="V307" s="76" t="s">
        <v>7</v>
      </c>
      <c r="W307" s="76" t="s">
        <v>8</v>
      </c>
      <c r="X307" s="76"/>
      <c r="Y307" s="81">
        <v>2E-3</v>
      </c>
      <c r="Z307" s="82">
        <v>4.0000000000000003E-5</v>
      </c>
      <c r="AA307" s="77" t="e">
        <f t="shared" ref="AA307:AA314" si="34">IF(OR(F307="",L307=""),"",F307*L307)</f>
        <v>#VALUE!</v>
      </c>
      <c r="AB307" s="77" t="e">
        <f t="shared" ref="AB307:AB314" si="35">IF(OR(F307="",Y307=""),"",Y307*F307)</f>
        <v>#VALUE!</v>
      </c>
      <c r="AC307" s="81" t="e">
        <f t="shared" ref="AC307:AC314" si="36">IF(OR(F307="",Z307=""),"",F307*Z307)</f>
        <v>#VALUE!</v>
      </c>
    </row>
    <row r="308" spans="1:29" ht="25.5" x14ac:dyDescent="0.25">
      <c r="A308" s="71" t="s">
        <v>334</v>
      </c>
      <c r="B308" s="72" t="s">
        <v>335</v>
      </c>
      <c r="C308" s="71" t="s">
        <v>334</v>
      </c>
      <c r="D308" s="73" t="s">
        <v>2</v>
      </c>
      <c r="E308" s="74" t="s">
        <v>2</v>
      </c>
      <c r="F308" s="75" t="s">
        <v>968</v>
      </c>
      <c r="G308" s="76" t="s">
        <v>3</v>
      </c>
      <c r="H308" s="77">
        <v>132.69</v>
      </c>
      <c r="I308" s="77">
        <v>110.58</v>
      </c>
      <c r="J308" s="77">
        <f t="shared" si="31"/>
        <v>84.921599999999998</v>
      </c>
      <c r="K308" s="77">
        <f t="shared" si="32"/>
        <v>99.517499999999998</v>
      </c>
      <c r="L308" s="78">
        <f t="shared" si="33"/>
        <v>-35064.659399999997</v>
      </c>
      <c r="M308" s="78">
        <f t="shared" si="33"/>
        <v>-29221.870799999997</v>
      </c>
      <c r="N308" s="77" t="s">
        <v>4</v>
      </c>
      <c r="O308" s="79">
        <v>10</v>
      </c>
      <c r="P308" s="79">
        <v>10</v>
      </c>
      <c r="Q308" s="79">
        <v>100</v>
      </c>
      <c r="R308" s="71" t="s">
        <v>299</v>
      </c>
      <c r="S308" s="71" t="s">
        <v>327</v>
      </c>
      <c r="T308" s="80" t="s">
        <v>328</v>
      </c>
      <c r="U308" s="80" t="s">
        <v>333</v>
      </c>
      <c r="V308" s="76" t="s">
        <v>5</v>
      </c>
      <c r="W308" s="76" t="s">
        <v>8</v>
      </c>
      <c r="X308" s="76"/>
      <c r="Y308" s="81">
        <v>2.1000000000000001E-2</v>
      </c>
      <c r="Z308" s="82">
        <v>4.0000000000000003E-5</v>
      </c>
      <c r="AA308" s="77" t="e">
        <f t="shared" si="34"/>
        <v>#VALUE!</v>
      </c>
      <c r="AB308" s="77" t="e">
        <f t="shared" si="35"/>
        <v>#VALUE!</v>
      </c>
      <c r="AC308" s="81" t="e">
        <f t="shared" si="36"/>
        <v>#VALUE!</v>
      </c>
    </row>
    <row r="309" spans="1:29" ht="25.5" x14ac:dyDescent="0.25">
      <c r="A309" s="71" t="s">
        <v>336</v>
      </c>
      <c r="B309" s="72" t="s">
        <v>337</v>
      </c>
      <c r="C309" s="71" t="s">
        <v>336</v>
      </c>
      <c r="D309" s="73" t="s">
        <v>2</v>
      </c>
      <c r="E309" s="74" t="s">
        <v>2</v>
      </c>
      <c r="F309" s="75" t="s">
        <v>968</v>
      </c>
      <c r="G309" s="76" t="s">
        <v>3</v>
      </c>
      <c r="H309" s="77">
        <v>132.69</v>
      </c>
      <c r="I309" s="77">
        <v>110.58</v>
      </c>
      <c r="J309" s="77">
        <f t="shared" si="31"/>
        <v>84.921599999999998</v>
      </c>
      <c r="K309" s="77">
        <f t="shared" si="32"/>
        <v>99.517499999999998</v>
      </c>
      <c r="L309" s="78">
        <f t="shared" si="33"/>
        <v>-35064.659399999997</v>
      </c>
      <c r="M309" s="78">
        <f t="shared" si="33"/>
        <v>-29221.870799999997</v>
      </c>
      <c r="N309" s="77" t="s">
        <v>4</v>
      </c>
      <c r="O309" s="79">
        <v>10</v>
      </c>
      <c r="P309" s="79">
        <v>10</v>
      </c>
      <c r="Q309" s="79">
        <v>100</v>
      </c>
      <c r="R309" s="71" t="s">
        <v>299</v>
      </c>
      <c r="S309" s="71" t="s">
        <v>327</v>
      </c>
      <c r="T309" s="80" t="s">
        <v>328</v>
      </c>
      <c r="U309" s="80" t="s">
        <v>333</v>
      </c>
      <c r="V309" s="76" t="s">
        <v>5</v>
      </c>
      <c r="W309" s="76" t="s">
        <v>8</v>
      </c>
      <c r="X309" s="76"/>
      <c r="Y309" s="81">
        <v>2.1000000000000001E-2</v>
      </c>
      <c r="Z309" s="82">
        <v>4.0000000000000003E-5</v>
      </c>
      <c r="AA309" s="77" t="e">
        <f t="shared" si="34"/>
        <v>#VALUE!</v>
      </c>
      <c r="AB309" s="77" t="e">
        <f t="shared" si="35"/>
        <v>#VALUE!</v>
      </c>
      <c r="AC309" s="81" t="e">
        <f t="shared" si="36"/>
        <v>#VALUE!</v>
      </c>
    </row>
    <row r="310" spans="1:29" ht="25.5" x14ac:dyDescent="0.25">
      <c r="A310" s="71" t="s">
        <v>338</v>
      </c>
      <c r="B310" s="72" t="s">
        <v>339</v>
      </c>
      <c r="C310" s="71" t="s">
        <v>338</v>
      </c>
      <c r="D310" s="73" t="s">
        <v>2</v>
      </c>
      <c r="E310" s="74" t="s">
        <v>2</v>
      </c>
      <c r="F310" s="75" t="s">
        <v>968</v>
      </c>
      <c r="G310" s="76" t="s">
        <v>3</v>
      </c>
      <c r="H310" s="77">
        <v>265.26</v>
      </c>
      <c r="I310" s="77">
        <v>221.05</v>
      </c>
      <c r="J310" s="77">
        <f t="shared" si="31"/>
        <v>169.76639999999998</v>
      </c>
      <c r="K310" s="77">
        <f t="shared" si="32"/>
        <v>198.94499999999999</v>
      </c>
      <c r="L310" s="78">
        <f t="shared" si="33"/>
        <v>-70097.607599999988</v>
      </c>
      <c r="M310" s="78">
        <f t="shared" si="33"/>
        <v>-58414.673000000003</v>
      </c>
      <c r="N310" s="77" t="s">
        <v>4</v>
      </c>
      <c r="O310" s="79">
        <v>10</v>
      </c>
      <c r="P310" s="79">
        <v>10</v>
      </c>
      <c r="Q310" s="79">
        <v>100</v>
      </c>
      <c r="R310" s="71" t="s">
        <v>299</v>
      </c>
      <c r="S310" s="71" t="s">
        <v>327</v>
      </c>
      <c r="T310" s="80" t="s">
        <v>328</v>
      </c>
      <c r="U310" s="80" t="s">
        <v>333</v>
      </c>
      <c r="V310" s="76" t="s">
        <v>5</v>
      </c>
      <c r="W310" s="76" t="s">
        <v>8</v>
      </c>
      <c r="X310" s="76"/>
      <c r="Y310" s="81">
        <v>0.05</v>
      </c>
      <c r="Z310" s="82">
        <v>9.0000000000000006E-5</v>
      </c>
      <c r="AA310" s="77" t="e">
        <f t="shared" si="34"/>
        <v>#VALUE!</v>
      </c>
      <c r="AB310" s="77" t="e">
        <f t="shared" si="35"/>
        <v>#VALUE!</v>
      </c>
      <c r="AC310" s="81" t="e">
        <f t="shared" si="36"/>
        <v>#VALUE!</v>
      </c>
    </row>
    <row r="311" spans="1:29" ht="25.5" x14ac:dyDescent="0.25">
      <c r="A311" s="71" t="s">
        <v>340</v>
      </c>
      <c r="B311" s="72" t="s">
        <v>341</v>
      </c>
      <c r="C311" s="71" t="s">
        <v>340</v>
      </c>
      <c r="D311" s="73" t="s">
        <v>2</v>
      </c>
      <c r="E311" s="74" t="s">
        <v>2</v>
      </c>
      <c r="F311" s="75" t="s">
        <v>968</v>
      </c>
      <c r="G311" s="76" t="s">
        <v>3</v>
      </c>
      <c r="H311" s="77">
        <v>800.48</v>
      </c>
      <c r="I311" s="77">
        <v>667.07</v>
      </c>
      <c r="J311" s="77">
        <f t="shared" si="31"/>
        <v>512.30719999999997</v>
      </c>
      <c r="K311" s="77">
        <f t="shared" si="32"/>
        <v>600.36</v>
      </c>
      <c r="L311" s="78">
        <f t="shared" si="33"/>
        <v>-211534.84479999999</v>
      </c>
      <c r="M311" s="78">
        <f t="shared" si="33"/>
        <v>-176279.91820000001</v>
      </c>
      <c r="N311" s="77" t="s">
        <v>4</v>
      </c>
      <c r="O311" s="79">
        <v>100</v>
      </c>
      <c r="P311" s="79">
        <v>10</v>
      </c>
      <c r="Q311" s="79">
        <v>100</v>
      </c>
      <c r="R311" s="71" t="s">
        <v>299</v>
      </c>
      <c r="S311" s="71" t="s">
        <v>327</v>
      </c>
      <c r="T311" s="80" t="s">
        <v>328</v>
      </c>
      <c r="U311" s="80" t="s">
        <v>330</v>
      </c>
      <c r="V311" s="76" t="s">
        <v>7</v>
      </c>
      <c r="W311" s="76" t="s">
        <v>8</v>
      </c>
      <c r="X311" s="76"/>
      <c r="Y311" s="81">
        <v>2.5000000000000001E-2</v>
      </c>
      <c r="Z311" s="82">
        <v>2.5000000000000001E-4</v>
      </c>
      <c r="AA311" s="77" t="e">
        <f t="shared" si="34"/>
        <v>#VALUE!</v>
      </c>
      <c r="AB311" s="77" t="e">
        <f t="shared" si="35"/>
        <v>#VALUE!</v>
      </c>
      <c r="AC311" s="81" t="e">
        <f t="shared" si="36"/>
        <v>#VALUE!</v>
      </c>
    </row>
    <row r="312" spans="1:29" ht="25.5" x14ac:dyDescent="0.25">
      <c r="A312" s="71" t="s">
        <v>342</v>
      </c>
      <c r="B312" s="72" t="s">
        <v>343</v>
      </c>
      <c r="C312" s="71" t="s">
        <v>342</v>
      </c>
      <c r="D312" s="73" t="s">
        <v>2</v>
      </c>
      <c r="E312" s="74" t="s">
        <v>2</v>
      </c>
      <c r="F312" s="75" t="s">
        <v>968</v>
      </c>
      <c r="G312" s="76" t="s">
        <v>3</v>
      </c>
      <c r="H312" s="77">
        <v>106.76</v>
      </c>
      <c r="I312" s="77">
        <v>88.97</v>
      </c>
      <c r="J312" s="77">
        <f t="shared" si="31"/>
        <v>68.326400000000007</v>
      </c>
      <c r="K312" s="77">
        <f t="shared" si="32"/>
        <v>80.070000000000007</v>
      </c>
      <c r="L312" s="78">
        <f t="shared" si="33"/>
        <v>-28212.3976</v>
      </c>
      <c r="M312" s="78">
        <f t="shared" si="33"/>
        <v>-23511.212199999998</v>
      </c>
      <c r="N312" s="77" t="s">
        <v>4</v>
      </c>
      <c r="O312" s="79">
        <v>10</v>
      </c>
      <c r="P312" s="79">
        <v>10</v>
      </c>
      <c r="Q312" s="79">
        <v>100</v>
      </c>
      <c r="R312" s="71" t="s">
        <v>299</v>
      </c>
      <c r="S312" s="71" t="s">
        <v>327</v>
      </c>
      <c r="T312" s="80" t="s">
        <v>328</v>
      </c>
      <c r="U312" s="80" t="s">
        <v>329</v>
      </c>
      <c r="V312" s="76" t="s">
        <v>5</v>
      </c>
      <c r="W312" s="76" t="s">
        <v>8</v>
      </c>
      <c r="X312" s="76"/>
      <c r="Y312" s="81">
        <v>1.0500000000000001E-2</v>
      </c>
      <c r="Z312" s="82">
        <v>2.0000000000000002E-5</v>
      </c>
      <c r="AA312" s="77" t="e">
        <f t="shared" si="34"/>
        <v>#VALUE!</v>
      </c>
      <c r="AB312" s="77" t="e">
        <f t="shared" si="35"/>
        <v>#VALUE!</v>
      </c>
      <c r="AC312" s="81" t="e">
        <f t="shared" si="36"/>
        <v>#VALUE!</v>
      </c>
    </row>
    <row r="313" spans="1:29" ht="25.5" x14ac:dyDescent="0.25">
      <c r="A313" s="71" t="s">
        <v>344</v>
      </c>
      <c r="B313" s="72" t="s">
        <v>345</v>
      </c>
      <c r="C313" s="71" t="s">
        <v>344</v>
      </c>
      <c r="D313" s="73" t="s">
        <v>2</v>
      </c>
      <c r="E313" s="74" t="s">
        <v>2</v>
      </c>
      <c r="F313" s="75" t="s">
        <v>968</v>
      </c>
      <c r="G313" s="76" t="s">
        <v>3</v>
      </c>
      <c r="H313" s="77">
        <v>151.53</v>
      </c>
      <c r="I313" s="77">
        <v>126.28</v>
      </c>
      <c r="J313" s="77">
        <f t="shared" si="31"/>
        <v>96.979199999999992</v>
      </c>
      <c r="K313" s="77">
        <f t="shared" si="32"/>
        <v>113.64750000000001</v>
      </c>
      <c r="L313" s="78">
        <f t="shared" si="33"/>
        <v>-40043.317799999997</v>
      </c>
      <c r="M313" s="78">
        <f t="shared" si="33"/>
        <v>-33370.752800000002</v>
      </c>
      <c r="N313" s="77" t="s">
        <v>4</v>
      </c>
      <c r="O313" s="79">
        <v>10</v>
      </c>
      <c r="P313" s="79">
        <v>10</v>
      </c>
      <c r="Q313" s="79">
        <v>100</v>
      </c>
      <c r="R313" s="71" t="s">
        <v>299</v>
      </c>
      <c r="S313" s="71" t="s">
        <v>327</v>
      </c>
      <c r="T313" s="80" t="s">
        <v>328</v>
      </c>
      <c r="U313" s="80" t="s">
        <v>329</v>
      </c>
      <c r="V313" s="76" t="s">
        <v>5</v>
      </c>
      <c r="W313" s="76" t="s">
        <v>8</v>
      </c>
      <c r="X313" s="76"/>
      <c r="Y313" s="81">
        <v>1.5800000000000002E-2</v>
      </c>
      <c r="Z313" s="82">
        <v>4.5000000000000003E-5</v>
      </c>
      <c r="AA313" s="77" t="e">
        <f t="shared" si="34"/>
        <v>#VALUE!</v>
      </c>
      <c r="AB313" s="77" t="e">
        <f t="shared" si="35"/>
        <v>#VALUE!</v>
      </c>
      <c r="AC313" s="81" t="e">
        <f t="shared" si="36"/>
        <v>#VALUE!</v>
      </c>
    </row>
    <row r="314" spans="1:29" ht="25.5" x14ac:dyDescent="0.25">
      <c r="A314" s="71" t="s">
        <v>346</v>
      </c>
      <c r="B314" s="72" t="s">
        <v>347</v>
      </c>
      <c r="C314" s="71" t="s">
        <v>346</v>
      </c>
      <c r="D314" s="73" t="s">
        <v>2</v>
      </c>
      <c r="E314" s="74" t="s">
        <v>2</v>
      </c>
      <c r="F314" s="75" t="s">
        <v>968</v>
      </c>
      <c r="G314" s="76" t="s">
        <v>3</v>
      </c>
      <c r="H314" s="77">
        <v>265.26</v>
      </c>
      <c r="I314" s="77">
        <v>221.05</v>
      </c>
      <c r="J314" s="77">
        <f t="shared" si="31"/>
        <v>169.76639999999998</v>
      </c>
      <c r="K314" s="77">
        <f t="shared" si="32"/>
        <v>198.94499999999999</v>
      </c>
      <c r="L314" s="78">
        <f t="shared" si="33"/>
        <v>-70097.607599999988</v>
      </c>
      <c r="M314" s="78">
        <f t="shared" si="33"/>
        <v>-58414.673000000003</v>
      </c>
      <c r="N314" s="77" t="s">
        <v>4</v>
      </c>
      <c r="O314" s="79">
        <v>10</v>
      </c>
      <c r="P314" s="79">
        <v>10</v>
      </c>
      <c r="Q314" s="79">
        <v>100</v>
      </c>
      <c r="R314" s="71" t="s">
        <v>299</v>
      </c>
      <c r="S314" s="71" t="s">
        <v>327</v>
      </c>
      <c r="T314" s="80" t="s">
        <v>328</v>
      </c>
      <c r="U314" s="80" t="s">
        <v>333</v>
      </c>
      <c r="V314" s="76" t="s">
        <v>5</v>
      </c>
      <c r="W314" s="76" t="s">
        <v>8</v>
      </c>
      <c r="X314" s="76"/>
      <c r="Y314" s="81">
        <v>0.05</v>
      </c>
      <c r="Z314" s="82">
        <v>9.0000000000000006E-5</v>
      </c>
      <c r="AA314" s="77" t="e">
        <f t="shared" si="34"/>
        <v>#VALUE!</v>
      </c>
      <c r="AB314" s="77" t="e">
        <f t="shared" si="35"/>
        <v>#VALUE!</v>
      </c>
      <c r="AC314" s="81" t="e">
        <f t="shared" si="36"/>
        <v>#VALUE!</v>
      </c>
    </row>
    <row r="315" spans="1:29" ht="25.5" x14ac:dyDescent="0.25">
      <c r="A315" s="71" t="s">
        <v>348</v>
      </c>
      <c r="B315" s="72" t="s">
        <v>349</v>
      </c>
      <c r="C315" s="71" t="s">
        <v>348</v>
      </c>
      <c r="D315" s="73" t="s">
        <v>2</v>
      </c>
      <c r="E315" s="74" t="s">
        <v>2</v>
      </c>
      <c r="F315" s="75" t="s">
        <v>968</v>
      </c>
      <c r="G315" s="76" t="s">
        <v>3</v>
      </c>
      <c r="H315" s="77">
        <v>6.1</v>
      </c>
      <c r="I315" s="77">
        <v>5.08</v>
      </c>
      <c r="J315" s="77">
        <v>3.9039999999999999</v>
      </c>
      <c r="K315" s="77">
        <v>4.5749999999999993</v>
      </c>
      <c r="L315" s="78">
        <v>6.1</v>
      </c>
      <c r="M315" s="78">
        <v>5.08</v>
      </c>
      <c r="N315" s="77" t="s">
        <v>4</v>
      </c>
      <c r="O315" s="79">
        <v>100</v>
      </c>
      <c r="P315" s="79">
        <v>100</v>
      </c>
      <c r="Q315" s="79">
        <v>2000</v>
      </c>
      <c r="R315" s="71" t="s">
        <v>299</v>
      </c>
      <c r="S315" s="71" t="s">
        <v>327</v>
      </c>
      <c r="T315" s="80" t="s">
        <v>328</v>
      </c>
      <c r="U315" s="80" t="s">
        <v>350</v>
      </c>
      <c r="V315" s="76" t="s">
        <v>5</v>
      </c>
      <c r="W315" s="76" t="s">
        <v>8</v>
      </c>
      <c r="X315" s="76"/>
      <c r="Y315" s="81">
        <v>1E-3</v>
      </c>
      <c r="Z315" s="82">
        <v>0</v>
      </c>
      <c r="AA315" s="77" t="s">
        <v>722</v>
      </c>
      <c r="AB315" s="77" t="s">
        <v>722</v>
      </c>
      <c r="AC315" s="81" t="s">
        <v>722</v>
      </c>
    </row>
    <row r="316" spans="1:29" ht="25.5" x14ac:dyDescent="0.25">
      <c r="A316" s="71" t="s">
        <v>351</v>
      </c>
      <c r="B316" s="72" t="s">
        <v>352</v>
      </c>
      <c r="C316" s="71" t="s">
        <v>351</v>
      </c>
      <c r="D316" s="73" t="s">
        <v>2</v>
      </c>
      <c r="E316" s="74" t="s">
        <v>2</v>
      </c>
      <c r="F316" s="75" t="s">
        <v>968</v>
      </c>
      <c r="G316" s="76" t="s">
        <v>3</v>
      </c>
      <c r="H316" s="77">
        <v>6.79</v>
      </c>
      <c r="I316" s="77">
        <v>5.66</v>
      </c>
      <c r="J316" s="77">
        <v>4.3456000000000001</v>
      </c>
      <c r="K316" s="77">
        <v>5.0925000000000002</v>
      </c>
      <c r="L316" s="78">
        <v>6.79</v>
      </c>
      <c r="M316" s="78">
        <v>5.66</v>
      </c>
      <c r="N316" s="77" t="s">
        <v>4</v>
      </c>
      <c r="O316" s="79">
        <v>50</v>
      </c>
      <c r="P316" s="79">
        <v>50</v>
      </c>
      <c r="Q316" s="79">
        <v>2500</v>
      </c>
      <c r="R316" s="71" t="s">
        <v>299</v>
      </c>
      <c r="S316" s="71" t="s">
        <v>327</v>
      </c>
      <c r="T316" s="80" t="s">
        <v>328</v>
      </c>
      <c r="U316" s="80" t="s">
        <v>350</v>
      </c>
      <c r="V316" s="76" t="s">
        <v>5</v>
      </c>
      <c r="W316" s="76" t="s">
        <v>8</v>
      </c>
      <c r="X316" s="76"/>
      <c r="Y316" s="81">
        <v>2E-3</v>
      </c>
      <c r="Z316" s="82">
        <v>2.0999999999999999E-5</v>
      </c>
      <c r="AA316" s="77" t="s">
        <v>722</v>
      </c>
      <c r="AB316" s="77" t="s">
        <v>722</v>
      </c>
      <c r="AC316" s="81" t="s">
        <v>722</v>
      </c>
    </row>
    <row r="317" spans="1:29" ht="25.5" x14ac:dyDescent="0.25">
      <c r="A317" s="71" t="s">
        <v>353</v>
      </c>
      <c r="B317" s="72" t="s">
        <v>354</v>
      </c>
      <c r="C317" s="71" t="s">
        <v>353</v>
      </c>
      <c r="D317" s="73" t="s">
        <v>2</v>
      </c>
      <c r="E317" s="74" t="s">
        <v>2</v>
      </c>
      <c r="F317" s="75" t="s">
        <v>968</v>
      </c>
      <c r="G317" s="76" t="s">
        <v>3</v>
      </c>
      <c r="H317" s="77">
        <v>6.1</v>
      </c>
      <c r="I317" s="77">
        <v>5.08</v>
      </c>
      <c r="J317" s="77">
        <v>3.9039999999999999</v>
      </c>
      <c r="K317" s="77">
        <v>4.5749999999999993</v>
      </c>
      <c r="L317" s="78">
        <v>6.1</v>
      </c>
      <c r="M317" s="78">
        <v>5.08</v>
      </c>
      <c r="N317" s="77" t="s">
        <v>4</v>
      </c>
      <c r="O317" s="79">
        <v>100</v>
      </c>
      <c r="P317" s="79">
        <v>100</v>
      </c>
      <c r="Q317" s="79">
        <v>2000</v>
      </c>
      <c r="R317" s="71" t="s">
        <v>299</v>
      </c>
      <c r="S317" s="71" t="s">
        <v>327</v>
      </c>
      <c r="T317" s="80" t="s">
        <v>328</v>
      </c>
      <c r="U317" s="80" t="s">
        <v>350</v>
      </c>
      <c r="V317" s="76" t="s">
        <v>5</v>
      </c>
      <c r="W317" s="76" t="s">
        <v>8</v>
      </c>
      <c r="X317" s="76"/>
      <c r="Y317" s="81">
        <v>1E-3</v>
      </c>
      <c r="Z317" s="82">
        <v>0</v>
      </c>
      <c r="AA317" s="77" t="s">
        <v>722</v>
      </c>
      <c r="AB317" s="77" t="s">
        <v>722</v>
      </c>
      <c r="AC317" s="81" t="s">
        <v>722</v>
      </c>
    </row>
    <row r="318" spans="1:29" ht="25.5" x14ac:dyDescent="0.25">
      <c r="A318" s="71" t="s">
        <v>355</v>
      </c>
      <c r="B318" s="72" t="s">
        <v>356</v>
      </c>
      <c r="C318" s="71" t="s">
        <v>355</v>
      </c>
      <c r="D318" s="73" t="s">
        <v>2</v>
      </c>
      <c r="E318" s="74" t="s">
        <v>2</v>
      </c>
      <c r="F318" s="75" t="s">
        <v>968</v>
      </c>
      <c r="G318" s="76" t="s">
        <v>3</v>
      </c>
      <c r="H318" s="77">
        <v>6.16</v>
      </c>
      <c r="I318" s="77">
        <v>5.13</v>
      </c>
      <c r="J318" s="77">
        <v>3.9424000000000001</v>
      </c>
      <c r="K318" s="77">
        <v>4.62</v>
      </c>
      <c r="L318" s="78">
        <v>6.16</v>
      </c>
      <c r="M318" s="78">
        <v>5.13</v>
      </c>
      <c r="N318" s="77" t="s">
        <v>4</v>
      </c>
      <c r="O318" s="79">
        <v>100</v>
      </c>
      <c r="P318" s="79">
        <v>100</v>
      </c>
      <c r="Q318" s="79">
        <v>2000</v>
      </c>
      <c r="R318" s="71" t="s">
        <v>299</v>
      </c>
      <c r="S318" s="71" t="s">
        <v>327</v>
      </c>
      <c r="T318" s="80" t="s">
        <v>328</v>
      </c>
      <c r="U318" s="80" t="s">
        <v>350</v>
      </c>
      <c r="V318" s="76" t="s">
        <v>5</v>
      </c>
      <c r="W318" s="76" t="s">
        <v>8</v>
      </c>
      <c r="X318" s="76"/>
      <c r="Y318" s="81">
        <v>1E-3</v>
      </c>
      <c r="Z318" s="82">
        <v>0</v>
      </c>
      <c r="AA318" s="77" t="s">
        <v>722</v>
      </c>
      <c r="AB318" s="77" t="s">
        <v>722</v>
      </c>
      <c r="AC318" s="81" t="s">
        <v>722</v>
      </c>
    </row>
    <row r="319" spans="1:29" ht="25.5" x14ac:dyDescent="0.25">
      <c r="A319" s="71" t="s">
        <v>357</v>
      </c>
      <c r="B319" s="72" t="s">
        <v>358</v>
      </c>
      <c r="C319" s="71" t="s">
        <v>357</v>
      </c>
      <c r="D319" s="73" t="s">
        <v>2</v>
      </c>
      <c r="E319" s="74" t="s">
        <v>2</v>
      </c>
      <c r="F319" s="75" t="s">
        <v>968</v>
      </c>
      <c r="G319" s="76" t="s">
        <v>3</v>
      </c>
      <c r="H319" s="77">
        <v>6.1</v>
      </c>
      <c r="I319" s="77">
        <v>5.08</v>
      </c>
      <c r="J319" s="77">
        <v>3.9039999999999999</v>
      </c>
      <c r="K319" s="77">
        <v>4.5749999999999993</v>
      </c>
      <c r="L319" s="78">
        <v>6.1</v>
      </c>
      <c r="M319" s="78">
        <v>5.08</v>
      </c>
      <c r="N319" s="77" t="s">
        <v>4</v>
      </c>
      <c r="O319" s="79">
        <v>100</v>
      </c>
      <c r="P319" s="79">
        <v>100</v>
      </c>
      <c r="Q319" s="79">
        <v>2000</v>
      </c>
      <c r="R319" s="71" t="s">
        <v>299</v>
      </c>
      <c r="S319" s="71" t="s">
        <v>327</v>
      </c>
      <c r="T319" s="80" t="s">
        <v>328</v>
      </c>
      <c r="U319" s="80" t="s">
        <v>350</v>
      </c>
      <c r="V319" s="76" t="s">
        <v>5</v>
      </c>
      <c r="W319" s="76" t="s">
        <v>8</v>
      </c>
      <c r="X319" s="76"/>
      <c r="Y319" s="81">
        <v>1E-3</v>
      </c>
      <c r="Z319" s="82">
        <v>0</v>
      </c>
      <c r="AA319" s="77" t="s">
        <v>722</v>
      </c>
      <c r="AB319" s="77" t="s">
        <v>722</v>
      </c>
      <c r="AC319" s="81" t="s">
        <v>722</v>
      </c>
    </row>
    <row r="320" spans="1:29" ht="25.5" x14ac:dyDescent="0.25">
      <c r="A320" s="71" t="s">
        <v>359</v>
      </c>
      <c r="B320" s="72" t="s">
        <v>360</v>
      </c>
      <c r="C320" s="71" t="s">
        <v>359</v>
      </c>
      <c r="D320" s="73" t="s">
        <v>2</v>
      </c>
      <c r="E320" s="74" t="s">
        <v>2</v>
      </c>
      <c r="F320" s="75" t="s">
        <v>968</v>
      </c>
      <c r="G320" s="76" t="s">
        <v>3</v>
      </c>
      <c r="H320" s="77">
        <v>6.1</v>
      </c>
      <c r="I320" s="77">
        <v>5.08</v>
      </c>
      <c r="J320" s="77">
        <v>3.9039999999999999</v>
      </c>
      <c r="K320" s="77">
        <v>4.5749999999999993</v>
      </c>
      <c r="L320" s="78">
        <v>6.1</v>
      </c>
      <c r="M320" s="78">
        <v>5.08</v>
      </c>
      <c r="N320" s="77" t="s">
        <v>4</v>
      </c>
      <c r="O320" s="79">
        <v>100</v>
      </c>
      <c r="P320" s="79">
        <v>100</v>
      </c>
      <c r="Q320" s="79">
        <v>2000</v>
      </c>
      <c r="R320" s="71" t="s">
        <v>299</v>
      </c>
      <c r="S320" s="71" t="s">
        <v>327</v>
      </c>
      <c r="T320" s="80" t="s">
        <v>328</v>
      </c>
      <c r="U320" s="80" t="s">
        <v>350</v>
      </c>
      <c r="V320" s="76" t="s">
        <v>5</v>
      </c>
      <c r="W320" s="76" t="s">
        <v>8</v>
      </c>
      <c r="X320" s="76"/>
      <c r="Y320" s="81">
        <v>1E-3</v>
      </c>
      <c r="Z320" s="82">
        <v>0</v>
      </c>
      <c r="AA320" s="77" t="s">
        <v>722</v>
      </c>
      <c r="AB320" s="77" t="s">
        <v>722</v>
      </c>
      <c r="AC320" s="81" t="s">
        <v>722</v>
      </c>
    </row>
    <row r="321" spans="1:29" ht="25.5" x14ac:dyDescent="0.25">
      <c r="A321" s="71" t="s">
        <v>361</v>
      </c>
      <c r="B321" s="72" t="s">
        <v>362</v>
      </c>
      <c r="C321" s="71" t="s">
        <v>361</v>
      </c>
      <c r="D321" s="73" t="s">
        <v>2</v>
      </c>
      <c r="E321" s="74" t="s">
        <v>2</v>
      </c>
      <c r="F321" s="75" t="s">
        <v>968</v>
      </c>
      <c r="G321" s="76" t="s">
        <v>3</v>
      </c>
      <c r="H321" s="77">
        <v>6.1</v>
      </c>
      <c r="I321" s="77">
        <v>5.08</v>
      </c>
      <c r="J321" s="77">
        <v>3.9039999999999999</v>
      </c>
      <c r="K321" s="77">
        <v>4.5749999999999993</v>
      </c>
      <c r="L321" s="78">
        <v>6.1</v>
      </c>
      <c r="M321" s="78">
        <v>5.08</v>
      </c>
      <c r="N321" s="77" t="s">
        <v>4</v>
      </c>
      <c r="O321" s="79">
        <v>100</v>
      </c>
      <c r="P321" s="79">
        <v>100</v>
      </c>
      <c r="Q321" s="79">
        <v>2000</v>
      </c>
      <c r="R321" s="71" t="s">
        <v>299</v>
      </c>
      <c r="S321" s="71" t="s">
        <v>327</v>
      </c>
      <c r="T321" s="80" t="s">
        <v>328</v>
      </c>
      <c r="U321" s="80" t="s">
        <v>350</v>
      </c>
      <c r="V321" s="76" t="s">
        <v>5</v>
      </c>
      <c r="W321" s="76" t="s">
        <v>8</v>
      </c>
      <c r="X321" s="76"/>
      <c r="Y321" s="81">
        <v>1E-3</v>
      </c>
      <c r="Z321" s="82">
        <v>0</v>
      </c>
      <c r="AA321" s="77" t="s">
        <v>722</v>
      </c>
      <c r="AB321" s="77" t="s">
        <v>722</v>
      </c>
      <c r="AC321" s="81" t="s">
        <v>722</v>
      </c>
    </row>
    <row r="322" spans="1:29" ht="25.5" x14ac:dyDescent="0.25">
      <c r="A322" s="71" t="s">
        <v>363</v>
      </c>
      <c r="B322" s="72" t="s">
        <v>364</v>
      </c>
      <c r="C322" s="71" t="s">
        <v>363</v>
      </c>
      <c r="D322" s="73" t="s">
        <v>2</v>
      </c>
      <c r="E322" s="74" t="s">
        <v>2</v>
      </c>
      <c r="F322" s="75" t="s">
        <v>968</v>
      </c>
      <c r="G322" s="76" t="s">
        <v>3</v>
      </c>
      <c r="H322" s="77">
        <v>6.16</v>
      </c>
      <c r="I322" s="77">
        <v>5.13</v>
      </c>
      <c r="J322" s="77">
        <v>3.9424000000000001</v>
      </c>
      <c r="K322" s="77">
        <v>4.62</v>
      </c>
      <c r="L322" s="78">
        <v>6.16</v>
      </c>
      <c r="M322" s="78">
        <v>5.13</v>
      </c>
      <c r="N322" s="77" t="s">
        <v>4</v>
      </c>
      <c r="O322" s="79">
        <v>100</v>
      </c>
      <c r="P322" s="79">
        <v>100</v>
      </c>
      <c r="Q322" s="79">
        <v>2000</v>
      </c>
      <c r="R322" s="71" t="s">
        <v>299</v>
      </c>
      <c r="S322" s="71" t="s">
        <v>327</v>
      </c>
      <c r="T322" s="80" t="s">
        <v>328</v>
      </c>
      <c r="U322" s="80" t="s">
        <v>350</v>
      </c>
      <c r="V322" s="76" t="s">
        <v>5</v>
      </c>
      <c r="W322" s="76" t="s">
        <v>8</v>
      </c>
      <c r="X322" s="76"/>
      <c r="Y322" s="81">
        <v>1E-3</v>
      </c>
      <c r="Z322" s="82">
        <v>0</v>
      </c>
      <c r="AA322" s="77" t="s">
        <v>722</v>
      </c>
      <c r="AB322" s="77" t="s">
        <v>722</v>
      </c>
      <c r="AC322" s="81" t="s">
        <v>722</v>
      </c>
    </row>
    <row r="323" spans="1:29" ht="25.5" x14ac:dyDescent="0.25">
      <c r="A323" s="71" t="s">
        <v>365</v>
      </c>
      <c r="B323" s="72" t="s">
        <v>366</v>
      </c>
      <c r="C323" s="71" t="s">
        <v>365</v>
      </c>
      <c r="D323" s="73" t="s">
        <v>2</v>
      </c>
      <c r="E323" s="74" t="s">
        <v>2</v>
      </c>
      <c r="F323" s="75" t="s">
        <v>968</v>
      </c>
      <c r="G323" s="76" t="s">
        <v>3</v>
      </c>
      <c r="H323" s="77">
        <v>4.2</v>
      </c>
      <c r="I323" s="77">
        <v>3.5</v>
      </c>
      <c r="J323" s="77">
        <v>2.6879999999999997</v>
      </c>
      <c r="K323" s="77">
        <v>3.1500000000000004</v>
      </c>
      <c r="L323" s="78">
        <v>4.2</v>
      </c>
      <c r="M323" s="78">
        <v>3.5</v>
      </c>
      <c r="N323" s="77" t="s">
        <v>4</v>
      </c>
      <c r="O323" s="79">
        <v>2000</v>
      </c>
      <c r="P323" s="79">
        <v>100</v>
      </c>
      <c r="Q323" s="79">
        <v>2000</v>
      </c>
      <c r="R323" s="71" t="s">
        <v>299</v>
      </c>
      <c r="S323" s="71" t="s">
        <v>327</v>
      </c>
      <c r="T323" s="80" t="s">
        <v>328</v>
      </c>
      <c r="U323" s="80" t="s">
        <v>350</v>
      </c>
      <c r="V323" s="76" t="s">
        <v>7</v>
      </c>
      <c r="W323" s="76" t="s">
        <v>8</v>
      </c>
      <c r="X323" s="76"/>
      <c r="Y323" s="81">
        <v>1E-3</v>
      </c>
      <c r="Z323" s="82">
        <v>0</v>
      </c>
      <c r="AA323" s="77" t="s">
        <v>722</v>
      </c>
      <c r="AB323" s="77" t="s">
        <v>722</v>
      </c>
      <c r="AC323" s="81" t="s">
        <v>722</v>
      </c>
    </row>
    <row r="324" spans="1:29" ht="25.5" x14ac:dyDescent="0.25">
      <c r="A324" s="71" t="s">
        <v>367</v>
      </c>
      <c r="B324" s="72" t="s">
        <v>368</v>
      </c>
      <c r="C324" s="71" t="s">
        <v>367</v>
      </c>
      <c r="D324" s="73" t="s">
        <v>2</v>
      </c>
      <c r="E324" s="74" t="s">
        <v>2</v>
      </c>
      <c r="F324" s="75" t="s">
        <v>968</v>
      </c>
      <c r="G324" s="76" t="s">
        <v>3</v>
      </c>
      <c r="H324" s="77">
        <v>5.36</v>
      </c>
      <c r="I324" s="77">
        <v>4.47</v>
      </c>
      <c r="J324" s="77">
        <v>3.4304000000000006</v>
      </c>
      <c r="K324" s="77">
        <v>4.0200000000000005</v>
      </c>
      <c r="L324" s="78">
        <v>5.36</v>
      </c>
      <c r="M324" s="78">
        <v>4.47</v>
      </c>
      <c r="N324" s="77" t="s">
        <v>4</v>
      </c>
      <c r="O324" s="79">
        <v>100</v>
      </c>
      <c r="P324" s="79">
        <v>100</v>
      </c>
      <c r="Q324" s="79">
        <v>2000</v>
      </c>
      <c r="R324" s="71" t="s">
        <v>299</v>
      </c>
      <c r="S324" s="71" t="s">
        <v>327</v>
      </c>
      <c r="T324" s="80" t="s">
        <v>328</v>
      </c>
      <c r="U324" s="80" t="s">
        <v>350</v>
      </c>
      <c r="V324" s="76" t="s">
        <v>5</v>
      </c>
      <c r="W324" s="76" t="s">
        <v>8</v>
      </c>
      <c r="X324" s="76"/>
      <c r="Y324" s="81">
        <v>1E-4</v>
      </c>
      <c r="Z324" s="82">
        <v>0</v>
      </c>
      <c r="AA324" s="77" t="s">
        <v>722</v>
      </c>
      <c r="AB324" s="77" t="s">
        <v>722</v>
      </c>
      <c r="AC324" s="81" t="s">
        <v>722</v>
      </c>
    </row>
    <row r="325" spans="1:29" ht="25.5" x14ac:dyDescent="0.25">
      <c r="A325" s="71" t="s">
        <v>369</v>
      </c>
      <c r="B325" s="72" t="s">
        <v>370</v>
      </c>
      <c r="C325" s="71" t="s">
        <v>369</v>
      </c>
      <c r="D325" s="73" t="s">
        <v>2</v>
      </c>
      <c r="E325" s="74" t="s">
        <v>2</v>
      </c>
      <c r="F325" s="75" t="s">
        <v>968</v>
      </c>
      <c r="G325" s="76" t="s">
        <v>3</v>
      </c>
      <c r="H325" s="77">
        <v>5.36</v>
      </c>
      <c r="I325" s="77">
        <v>4.47</v>
      </c>
      <c r="J325" s="77">
        <v>3.4304000000000006</v>
      </c>
      <c r="K325" s="77">
        <v>4.0200000000000005</v>
      </c>
      <c r="L325" s="78">
        <v>5.36</v>
      </c>
      <c r="M325" s="78">
        <v>4.47</v>
      </c>
      <c r="N325" s="77" t="s">
        <v>4</v>
      </c>
      <c r="O325" s="79">
        <v>100</v>
      </c>
      <c r="P325" s="79">
        <v>100</v>
      </c>
      <c r="Q325" s="79">
        <v>2000</v>
      </c>
      <c r="R325" s="71" t="s">
        <v>299</v>
      </c>
      <c r="S325" s="71" t="s">
        <v>327</v>
      </c>
      <c r="T325" s="80" t="s">
        <v>328</v>
      </c>
      <c r="U325" s="80" t="s">
        <v>350</v>
      </c>
      <c r="V325" s="76" t="s">
        <v>5</v>
      </c>
      <c r="W325" s="76" t="s">
        <v>8</v>
      </c>
      <c r="X325" s="76"/>
      <c r="Y325" s="81">
        <v>1E-3</v>
      </c>
      <c r="Z325" s="82">
        <v>0</v>
      </c>
      <c r="AA325" s="77" t="s">
        <v>722</v>
      </c>
      <c r="AB325" s="77" t="s">
        <v>722</v>
      </c>
      <c r="AC325" s="81" t="s">
        <v>722</v>
      </c>
    </row>
    <row r="326" spans="1:29" ht="25.5" x14ac:dyDescent="0.25">
      <c r="A326" s="71" t="s">
        <v>371</v>
      </c>
      <c r="B326" s="72" t="s">
        <v>372</v>
      </c>
      <c r="C326" s="71" t="s">
        <v>371</v>
      </c>
      <c r="D326" s="73" t="s">
        <v>2</v>
      </c>
      <c r="E326" s="74" t="s">
        <v>2</v>
      </c>
      <c r="F326" s="75" t="s">
        <v>968</v>
      </c>
      <c r="G326" s="76" t="s">
        <v>3</v>
      </c>
      <c r="H326" s="77">
        <v>5.36</v>
      </c>
      <c r="I326" s="77">
        <v>4.47</v>
      </c>
      <c r="J326" s="77">
        <v>3.4304000000000006</v>
      </c>
      <c r="K326" s="77">
        <v>4.0200000000000005</v>
      </c>
      <c r="L326" s="78">
        <v>5.36</v>
      </c>
      <c r="M326" s="78">
        <v>4.47</v>
      </c>
      <c r="N326" s="77" t="s">
        <v>4</v>
      </c>
      <c r="O326" s="79">
        <v>100</v>
      </c>
      <c r="P326" s="79">
        <v>100</v>
      </c>
      <c r="Q326" s="79">
        <v>2000</v>
      </c>
      <c r="R326" s="71" t="s">
        <v>299</v>
      </c>
      <c r="S326" s="71" t="s">
        <v>327</v>
      </c>
      <c r="T326" s="80" t="s">
        <v>328</v>
      </c>
      <c r="U326" s="80" t="s">
        <v>350</v>
      </c>
      <c r="V326" s="76" t="s">
        <v>5</v>
      </c>
      <c r="W326" s="76" t="s">
        <v>8</v>
      </c>
      <c r="X326" s="76"/>
      <c r="Y326" s="81">
        <v>1E-3</v>
      </c>
      <c r="Z326" s="82">
        <v>0</v>
      </c>
      <c r="AA326" s="77" t="s">
        <v>722</v>
      </c>
      <c r="AB326" s="77" t="s">
        <v>722</v>
      </c>
      <c r="AC326" s="81" t="s">
        <v>722</v>
      </c>
    </row>
    <row r="327" spans="1:29" ht="25.5" x14ac:dyDescent="0.25">
      <c r="A327" s="71" t="s">
        <v>373</v>
      </c>
      <c r="B327" s="72" t="s">
        <v>374</v>
      </c>
      <c r="C327" s="71" t="s">
        <v>373</v>
      </c>
      <c r="D327" s="73" t="s">
        <v>2</v>
      </c>
      <c r="E327" s="74" t="s">
        <v>2</v>
      </c>
      <c r="F327" s="75" t="s">
        <v>968</v>
      </c>
      <c r="G327" s="76" t="s">
        <v>3</v>
      </c>
      <c r="H327" s="77">
        <v>6.48</v>
      </c>
      <c r="I327" s="77">
        <v>5.4</v>
      </c>
      <c r="J327" s="77">
        <v>4.1471999999999998</v>
      </c>
      <c r="K327" s="77">
        <v>4.8600000000000003</v>
      </c>
      <c r="L327" s="78">
        <v>6.48</v>
      </c>
      <c r="M327" s="78">
        <v>5.4</v>
      </c>
      <c r="N327" s="77" t="s">
        <v>4</v>
      </c>
      <c r="O327" s="79">
        <v>100</v>
      </c>
      <c r="P327" s="79">
        <v>100</v>
      </c>
      <c r="Q327" s="79">
        <v>2000</v>
      </c>
      <c r="R327" s="71" t="s">
        <v>299</v>
      </c>
      <c r="S327" s="71" t="s">
        <v>327</v>
      </c>
      <c r="T327" s="80" t="s">
        <v>328</v>
      </c>
      <c r="U327" s="80" t="s">
        <v>350</v>
      </c>
      <c r="V327" s="76" t="s">
        <v>5</v>
      </c>
      <c r="W327" s="76" t="s">
        <v>8</v>
      </c>
      <c r="X327" s="76"/>
      <c r="Y327" s="81">
        <v>1E-3</v>
      </c>
      <c r="Z327" s="82">
        <v>0</v>
      </c>
      <c r="AA327" s="77" t="s">
        <v>722</v>
      </c>
      <c r="AB327" s="77" t="s">
        <v>722</v>
      </c>
      <c r="AC327" s="81" t="s">
        <v>722</v>
      </c>
    </row>
    <row r="328" spans="1:29" ht="25.5" x14ac:dyDescent="0.25">
      <c r="A328" s="71" t="s">
        <v>375</v>
      </c>
      <c r="B328" s="72" t="s">
        <v>376</v>
      </c>
      <c r="C328" s="71" t="s">
        <v>375</v>
      </c>
      <c r="D328" s="73" t="s">
        <v>2</v>
      </c>
      <c r="E328" s="74" t="s">
        <v>2</v>
      </c>
      <c r="F328" s="75" t="s">
        <v>968</v>
      </c>
      <c r="G328" s="76" t="s">
        <v>3</v>
      </c>
      <c r="H328" s="77">
        <v>6.48</v>
      </c>
      <c r="I328" s="77">
        <v>5.4</v>
      </c>
      <c r="J328" s="77">
        <v>4.1471999999999998</v>
      </c>
      <c r="K328" s="77">
        <v>4.8600000000000003</v>
      </c>
      <c r="L328" s="78">
        <v>6.48</v>
      </c>
      <c r="M328" s="78">
        <v>5.4</v>
      </c>
      <c r="N328" s="77" t="s">
        <v>4</v>
      </c>
      <c r="O328" s="79">
        <v>100</v>
      </c>
      <c r="P328" s="79">
        <v>100</v>
      </c>
      <c r="Q328" s="79">
        <v>2000</v>
      </c>
      <c r="R328" s="71" t="s">
        <v>299</v>
      </c>
      <c r="S328" s="71" t="s">
        <v>327</v>
      </c>
      <c r="T328" s="80" t="s">
        <v>328</v>
      </c>
      <c r="U328" s="80" t="s">
        <v>350</v>
      </c>
      <c r="V328" s="76" t="s">
        <v>5</v>
      </c>
      <c r="W328" s="76" t="s">
        <v>8</v>
      </c>
      <c r="X328" s="76"/>
      <c r="Y328" s="81">
        <v>1E-3</v>
      </c>
      <c r="Z328" s="82">
        <v>0</v>
      </c>
      <c r="AA328" s="77" t="s">
        <v>722</v>
      </c>
      <c r="AB328" s="77" t="s">
        <v>722</v>
      </c>
      <c r="AC328" s="81" t="s">
        <v>722</v>
      </c>
    </row>
    <row r="329" spans="1:29" ht="25.5" x14ac:dyDescent="0.25">
      <c r="A329" s="71" t="s">
        <v>377</v>
      </c>
      <c r="B329" s="72" t="s">
        <v>378</v>
      </c>
      <c r="C329" s="71" t="s">
        <v>377</v>
      </c>
      <c r="D329" s="73" t="s">
        <v>2</v>
      </c>
      <c r="E329" s="74" t="s">
        <v>2</v>
      </c>
      <c r="F329" s="75" t="s">
        <v>968</v>
      </c>
      <c r="G329" s="76" t="s">
        <v>3</v>
      </c>
      <c r="H329" s="77">
        <v>6.48</v>
      </c>
      <c r="I329" s="77">
        <v>5.4</v>
      </c>
      <c r="J329" s="77">
        <v>4.1471999999999998</v>
      </c>
      <c r="K329" s="77">
        <v>4.8600000000000003</v>
      </c>
      <c r="L329" s="78">
        <v>6.48</v>
      </c>
      <c r="M329" s="78">
        <v>5.4</v>
      </c>
      <c r="N329" s="77" t="s">
        <v>4</v>
      </c>
      <c r="O329" s="79">
        <v>100</v>
      </c>
      <c r="P329" s="79">
        <v>100</v>
      </c>
      <c r="Q329" s="79">
        <v>2000</v>
      </c>
      <c r="R329" s="71" t="s">
        <v>299</v>
      </c>
      <c r="S329" s="71" t="s">
        <v>327</v>
      </c>
      <c r="T329" s="80" t="s">
        <v>328</v>
      </c>
      <c r="U329" s="80" t="s">
        <v>350</v>
      </c>
      <c r="V329" s="76" t="s">
        <v>5</v>
      </c>
      <c r="W329" s="76" t="s">
        <v>8</v>
      </c>
      <c r="X329" s="76"/>
      <c r="Y329" s="81">
        <v>1E-3</v>
      </c>
      <c r="Z329" s="82">
        <v>0</v>
      </c>
      <c r="AA329" s="77" t="s">
        <v>722</v>
      </c>
      <c r="AB329" s="77" t="s">
        <v>722</v>
      </c>
      <c r="AC329" s="81" t="s">
        <v>722</v>
      </c>
    </row>
    <row r="330" spans="1:29" ht="25.5" x14ac:dyDescent="0.25">
      <c r="A330" s="71" t="s">
        <v>379</v>
      </c>
      <c r="B330" s="72" t="s">
        <v>380</v>
      </c>
      <c r="C330" s="71" t="s">
        <v>379</v>
      </c>
      <c r="D330" s="73" t="s">
        <v>2</v>
      </c>
      <c r="E330" s="74" t="s">
        <v>2</v>
      </c>
      <c r="F330" s="75" t="s">
        <v>968</v>
      </c>
      <c r="G330" s="76" t="s">
        <v>3</v>
      </c>
      <c r="H330" s="77">
        <v>5.07</v>
      </c>
      <c r="I330" s="77">
        <v>4.2300000000000004</v>
      </c>
      <c r="J330" s="77">
        <v>3.2448000000000001</v>
      </c>
      <c r="K330" s="77">
        <v>3.8025000000000002</v>
      </c>
      <c r="L330" s="78">
        <v>5.07</v>
      </c>
      <c r="M330" s="78">
        <v>4.2300000000000004</v>
      </c>
      <c r="N330" s="77" t="s">
        <v>4</v>
      </c>
      <c r="O330" s="79">
        <v>100</v>
      </c>
      <c r="P330" s="79">
        <v>100</v>
      </c>
      <c r="Q330" s="79">
        <v>4000</v>
      </c>
      <c r="R330" s="71" t="s">
        <v>299</v>
      </c>
      <c r="S330" s="71" t="s">
        <v>327</v>
      </c>
      <c r="T330" s="80" t="s">
        <v>328</v>
      </c>
      <c r="U330" s="80" t="s">
        <v>350</v>
      </c>
      <c r="V330" s="76" t="s">
        <v>5</v>
      </c>
      <c r="W330" s="76" t="s">
        <v>8</v>
      </c>
      <c r="X330" s="76"/>
      <c r="Y330" s="81">
        <v>1E-3</v>
      </c>
      <c r="Z330" s="82">
        <v>9.9999999999999995E-7</v>
      </c>
      <c r="AA330" s="77" t="s">
        <v>722</v>
      </c>
      <c r="AB330" s="77" t="s">
        <v>722</v>
      </c>
      <c r="AC330" s="81" t="s">
        <v>722</v>
      </c>
    </row>
    <row r="331" spans="1:29" ht="25.5" x14ac:dyDescent="0.25">
      <c r="A331" s="71" t="s">
        <v>381</v>
      </c>
      <c r="B331" s="72" t="s">
        <v>382</v>
      </c>
      <c r="C331" s="71" t="s">
        <v>381</v>
      </c>
      <c r="D331" s="73" t="s">
        <v>2</v>
      </c>
      <c r="E331" s="74" t="s">
        <v>2</v>
      </c>
      <c r="F331" s="75" t="s">
        <v>968</v>
      </c>
      <c r="G331" s="76" t="s">
        <v>3</v>
      </c>
      <c r="H331" s="77">
        <v>5.36</v>
      </c>
      <c r="I331" s="77">
        <v>4.47</v>
      </c>
      <c r="J331" s="77">
        <v>3.4304000000000006</v>
      </c>
      <c r="K331" s="77">
        <v>4.0200000000000005</v>
      </c>
      <c r="L331" s="78">
        <v>5.36</v>
      </c>
      <c r="M331" s="78">
        <v>4.47</v>
      </c>
      <c r="N331" s="77" t="s">
        <v>4</v>
      </c>
      <c r="O331" s="79">
        <v>100</v>
      </c>
      <c r="P331" s="79">
        <v>100</v>
      </c>
      <c r="Q331" s="79">
        <v>2000</v>
      </c>
      <c r="R331" s="71" t="s">
        <v>299</v>
      </c>
      <c r="S331" s="71" t="s">
        <v>327</v>
      </c>
      <c r="T331" s="80" t="s">
        <v>328</v>
      </c>
      <c r="U331" s="80" t="s">
        <v>350</v>
      </c>
      <c r="V331" s="76" t="s">
        <v>5</v>
      </c>
      <c r="W331" s="76" t="s">
        <v>8</v>
      </c>
      <c r="X331" s="76"/>
      <c r="Y331" s="81">
        <v>1E-3</v>
      </c>
      <c r="Z331" s="82">
        <v>0</v>
      </c>
      <c r="AA331" s="77" t="s">
        <v>722</v>
      </c>
      <c r="AB331" s="77" t="s">
        <v>722</v>
      </c>
      <c r="AC331" s="81" t="s">
        <v>722</v>
      </c>
    </row>
    <row r="332" spans="1:29" ht="25.5" x14ac:dyDescent="0.25">
      <c r="A332" s="71" t="s">
        <v>383</v>
      </c>
      <c r="B332" s="72" t="s">
        <v>384</v>
      </c>
      <c r="C332" s="71" t="s">
        <v>383</v>
      </c>
      <c r="D332" s="73" t="s">
        <v>2</v>
      </c>
      <c r="E332" s="74" t="s">
        <v>2</v>
      </c>
      <c r="F332" s="75" t="s">
        <v>968</v>
      </c>
      <c r="G332" s="76" t="s">
        <v>3</v>
      </c>
      <c r="H332" s="77">
        <v>5.07</v>
      </c>
      <c r="I332" s="77">
        <v>4.2300000000000004</v>
      </c>
      <c r="J332" s="77">
        <v>3.2448000000000001</v>
      </c>
      <c r="K332" s="77">
        <v>3.8025000000000002</v>
      </c>
      <c r="L332" s="78">
        <v>5.07</v>
      </c>
      <c r="M332" s="78">
        <v>4.2300000000000004</v>
      </c>
      <c r="N332" s="77" t="s">
        <v>4</v>
      </c>
      <c r="O332" s="79">
        <v>100</v>
      </c>
      <c r="P332" s="79">
        <v>100</v>
      </c>
      <c r="Q332" s="79">
        <v>4000</v>
      </c>
      <c r="R332" s="71" t="s">
        <v>299</v>
      </c>
      <c r="S332" s="71" t="s">
        <v>327</v>
      </c>
      <c r="T332" s="80" t="s">
        <v>328</v>
      </c>
      <c r="U332" s="80" t="s">
        <v>350</v>
      </c>
      <c r="V332" s="76" t="s">
        <v>5</v>
      </c>
      <c r="W332" s="76" t="s">
        <v>8</v>
      </c>
      <c r="X332" s="76"/>
      <c r="Y332" s="81">
        <v>1E-3</v>
      </c>
      <c r="Z332" s="82">
        <v>9.9999999999999995E-7</v>
      </c>
      <c r="AA332" s="77" t="s">
        <v>722</v>
      </c>
      <c r="AB332" s="77" t="s">
        <v>722</v>
      </c>
      <c r="AC332" s="81" t="s">
        <v>722</v>
      </c>
    </row>
    <row r="333" spans="1:29" ht="25.5" x14ac:dyDescent="0.25">
      <c r="A333" s="71" t="s">
        <v>385</v>
      </c>
      <c r="B333" s="72" t="s">
        <v>386</v>
      </c>
      <c r="C333" s="71" t="s">
        <v>385</v>
      </c>
      <c r="D333" s="73" t="s">
        <v>2</v>
      </c>
      <c r="E333" s="74" t="s">
        <v>2</v>
      </c>
      <c r="F333" s="75" t="s">
        <v>968</v>
      </c>
      <c r="G333" s="76" t="s">
        <v>3</v>
      </c>
      <c r="H333" s="77">
        <v>5.36</v>
      </c>
      <c r="I333" s="77">
        <v>4.47</v>
      </c>
      <c r="J333" s="77">
        <v>3.4304000000000006</v>
      </c>
      <c r="K333" s="77">
        <v>4.0200000000000005</v>
      </c>
      <c r="L333" s="78">
        <v>5.36</v>
      </c>
      <c r="M333" s="78">
        <v>4.47</v>
      </c>
      <c r="N333" s="77" t="s">
        <v>4</v>
      </c>
      <c r="O333" s="79">
        <v>100</v>
      </c>
      <c r="P333" s="79">
        <v>100</v>
      </c>
      <c r="Q333" s="79">
        <v>2000</v>
      </c>
      <c r="R333" s="71" t="s">
        <v>299</v>
      </c>
      <c r="S333" s="71" t="s">
        <v>327</v>
      </c>
      <c r="T333" s="80" t="s">
        <v>328</v>
      </c>
      <c r="U333" s="80" t="s">
        <v>350</v>
      </c>
      <c r="V333" s="76" t="s">
        <v>5</v>
      </c>
      <c r="W333" s="76" t="s">
        <v>8</v>
      </c>
      <c r="X333" s="76"/>
      <c r="Y333" s="81">
        <v>1E-3</v>
      </c>
      <c r="Z333" s="82">
        <v>0</v>
      </c>
      <c r="AA333" s="77" t="s">
        <v>722</v>
      </c>
      <c r="AB333" s="77" t="s">
        <v>722</v>
      </c>
      <c r="AC333" s="81" t="s">
        <v>722</v>
      </c>
    </row>
    <row r="334" spans="1:29" ht="25.5" x14ac:dyDescent="0.25">
      <c r="A334" s="71" t="s">
        <v>387</v>
      </c>
      <c r="B334" s="72" t="s">
        <v>388</v>
      </c>
      <c r="C334" s="71" t="s">
        <v>387</v>
      </c>
      <c r="D334" s="73" t="s">
        <v>2</v>
      </c>
      <c r="E334" s="74" t="s">
        <v>2</v>
      </c>
      <c r="F334" s="75" t="s">
        <v>968</v>
      </c>
      <c r="G334" s="76" t="s">
        <v>3</v>
      </c>
      <c r="H334" s="77">
        <v>5.07</v>
      </c>
      <c r="I334" s="77">
        <v>4.2300000000000004</v>
      </c>
      <c r="J334" s="77">
        <v>3.2448000000000001</v>
      </c>
      <c r="K334" s="77">
        <v>3.8025000000000002</v>
      </c>
      <c r="L334" s="78">
        <v>5.07</v>
      </c>
      <c r="M334" s="78">
        <v>4.2300000000000004</v>
      </c>
      <c r="N334" s="77" t="s">
        <v>4</v>
      </c>
      <c r="O334" s="79">
        <v>100</v>
      </c>
      <c r="P334" s="79">
        <v>100</v>
      </c>
      <c r="Q334" s="79">
        <v>4000</v>
      </c>
      <c r="R334" s="71" t="s">
        <v>299</v>
      </c>
      <c r="S334" s="71" t="s">
        <v>327</v>
      </c>
      <c r="T334" s="80" t="s">
        <v>328</v>
      </c>
      <c r="U334" s="80" t="s">
        <v>350</v>
      </c>
      <c r="V334" s="76" t="s">
        <v>5</v>
      </c>
      <c r="W334" s="76" t="s">
        <v>8</v>
      </c>
      <c r="X334" s="76"/>
      <c r="Y334" s="81">
        <v>1E-3</v>
      </c>
      <c r="Z334" s="82">
        <v>9.9999999999999995E-7</v>
      </c>
      <c r="AA334" s="77" t="s">
        <v>722</v>
      </c>
      <c r="AB334" s="77" t="s">
        <v>722</v>
      </c>
      <c r="AC334" s="81" t="s">
        <v>722</v>
      </c>
    </row>
    <row r="335" spans="1:29" ht="25.5" x14ac:dyDescent="0.25">
      <c r="A335" s="71" t="s">
        <v>389</v>
      </c>
      <c r="B335" s="72" t="s">
        <v>390</v>
      </c>
      <c r="C335" s="71" t="s">
        <v>389</v>
      </c>
      <c r="D335" s="73" t="s">
        <v>2</v>
      </c>
      <c r="E335" s="74" t="s">
        <v>2</v>
      </c>
      <c r="F335" s="75" t="s">
        <v>968</v>
      </c>
      <c r="G335" s="76" t="s">
        <v>3</v>
      </c>
      <c r="H335" s="77">
        <v>4.63</v>
      </c>
      <c r="I335" s="77">
        <v>3.86</v>
      </c>
      <c r="J335" s="77">
        <v>2.9631999999999996</v>
      </c>
      <c r="K335" s="77">
        <v>3.4725000000000001</v>
      </c>
      <c r="L335" s="78">
        <v>4.63</v>
      </c>
      <c r="M335" s="78">
        <v>3.86</v>
      </c>
      <c r="N335" s="77" t="s">
        <v>4</v>
      </c>
      <c r="O335" s="79">
        <v>96</v>
      </c>
      <c r="P335" s="79">
        <v>96</v>
      </c>
      <c r="Q335" s="79">
        <v>1920</v>
      </c>
      <c r="R335" s="71" t="s">
        <v>299</v>
      </c>
      <c r="S335" s="71" t="s">
        <v>327</v>
      </c>
      <c r="T335" s="80" t="s">
        <v>328</v>
      </c>
      <c r="U335" s="80" t="s">
        <v>350</v>
      </c>
      <c r="V335" s="76" t="s">
        <v>5</v>
      </c>
      <c r="W335" s="76" t="s">
        <v>8</v>
      </c>
      <c r="X335" s="76"/>
      <c r="Y335" s="81">
        <v>1E-3</v>
      </c>
      <c r="Z335" s="82">
        <v>0</v>
      </c>
      <c r="AA335" s="77" t="s">
        <v>722</v>
      </c>
      <c r="AB335" s="77" t="s">
        <v>722</v>
      </c>
      <c r="AC335" s="81" t="s">
        <v>722</v>
      </c>
    </row>
    <row r="336" spans="1:29" ht="25.5" x14ac:dyDescent="0.25">
      <c r="A336" s="71" t="s">
        <v>391</v>
      </c>
      <c r="B336" s="72" t="s">
        <v>392</v>
      </c>
      <c r="C336" s="71" t="s">
        <v>391</v>
      </c>
      <c r="D336" s="73" t="s">
        <v>2</v>
      </c>
      <c r="E336" s="74" t="s">
        <v>2</v>
      </c>
      <c r="F336" s="75" t="s">
        <v>968</v>
      </c>
      <c r="G336" s="76" t="s">
        <v>3</v>
      </c>
      <c r="H336" s="77">
        <v>19.28</v>
      </c>
      <c r="I336" s="77">
        <v>16.07</v>
      </c>
      <c r="J336" s="77">
        <v>12.339200000000002</v>
      </c>
      <c r="K336" s="77">
        <v>14.46</v>
      </c>
      <c r="L336" s="78">
        <v>19.28</v>
      </c>
      <c r="M336" s="78">
        <v>16.07</v>
      </c>
      <c r="N336" s="77" t="s">
        <v>4</v>
      </c>
      <c r="O336" s="79">
        <v>96</v>
      </c>
      <c r="P336" s="79">
        <v>96</v>
      </c>
      <c r="Q336" s="79">
        <v>1920</v>
      </c>
      <c r="R336" s="71" t="s">
        <v>299</v>
      </c>
      <c r="S336" s="71" t="s">
        <v>327</v>
      </c>
      <c r="T336" s="80" t="s">
        <v>328</v>
      </c>
      <c r="U336" s="80" t="s">
        <v>329</v>
      </c>
      <c r="V336" s="76" t="s">
        <v>5</v>
      </c>
      <c r="W336" s="76" t="s">
        <v>8</v>
      </c>
      <c r="X336" s="76"/>
      <c r="Y336" s="81">
        <v>2E-3</v>
      </c>
      <c r="Z336" s="82">
        <v>1.0000000000000001E-5</v>
      </c>
      <c r="AA336" s="77" t="s">
        <v>722</v>
      </c>
      <c r="AB336" s="77" t="s">
        <v>722</v>
      </c>
      <c r="AC336" s="81" t="s">
        <v>722</v>
      </c>
    </row>
    <row r="337" spans="1:29" ht="25.5" x14ac:dyDescent="0.25">
      <c r="A337" s="71" t="s">
        <v>393</v>
      </c>
      <c r="B337" s="72" t="s">
        <v>394</v>
      </c>
      <c r="C337" s="71" t="s">
        <v>393</v>
      </c>
      <c r="D337" s="73" t="s">
        <v>2</v>
      </c>
      <c r="E337" s="74" t="s">
        <v>2</v>
      </c>
      <c r="F337" s="75" t="s">
        <v>968</v>
      </c>
      <c r="G337" s="76" t="s">
        <v>3</v>
      </c>
      <c r="H337" s="77">
        <v>31.62</v>
      </c>
      <c r="I337" s="77">
        <v>26.35</v>
      </c>
      <c r="J337" s="77">
        <v>20.236800000000002</v>
      </c>
      <c r="K337" s="77">
        <v>23.715</v>
      </c>
      <c r="L337" s="78">
        <v>31.62</v>
      </c>
      <c r="M337" s="78">
        <v>26.35</v>
      </c>
      <c r="N337" s="77" t="s">
        <v>4</v>
      </c>
      <c r="O337" s="79">
        <v>100</v>
      </c>
      <c r="P337" s="79">
        <v>100</v>
      </c>
      <c r="Q337" s="79">
        <v>2000</v>
      </c>
      <c r="R337" s="71" t="s">
        <v>299</v>
      </c>
      <c r="S337" s="71" t="s">
        <v>327</v>
      </c>
      <c r="T337" s="80" t="s">
        <v>328</v>
      </c>
      <c r="U337" s="80" t="s">
        <v>329</v>
      </c>
      <c r="V337" s="76" t="s">
        <v>5</v>
      </c>
      <c r="W337" s="76" t="s">
        <v>8</v>
      </c>
      <c r="X337" s="76"/>
      <c r="Y337" s="81">
        <v>3.0000000000000001E-3</v>
      </c>
      <c r="Z337" s="82">
        <v>1.9999999999999999E-6</v>
      </c>
      <c r="AA337" s="77" t="s">
        <v>722</v>
      </c>
      <c r="AB337" s="77" t="s">
        <v>722</v>
      </c>
      <c r="AC337" s="81" t="s">
        <v>722</v>
      </c>
    </row>
    <row r="338" spans="1:29" ht="25.5" x14ac:dyDescent="0.25">
      <c r="A338" s="71" t="s">
        <v>395</v>
      </c>
      <c r="B338" s="72" t="s">
        <v>396</v>
      </c>
      <c r="C338" s="71" t="s">
        <v>395</v>
      </c>
      <c r="D338" s="73" t="s">
        <v>2</v>
      </c>
      <c r="E338" s="74" t="s">
        <v>2</v>
      </c>
      <c r="F338" s="75" t="s">
        <v>968</v>
      </c>
      <c r="G338" s="76" t="s">
        <v>3</v>
      </c>
      <c r="H338" s="77">
        <v>53.64</v>
      </c>
      <c r="I338" s="77">
        <v>44.7</v>
      </c>
      <c r="J338" s="77">
        <v>34.329599999999999</v>
      </c>
      <c r="K338" s="77">
        <v>40.230000000000004</v>
      </c>
      <c r="L338" s="78">
        <v>53.64</v>
      </c>
      <c r="M338" s="78">
        <v>44.7</v>
      </c>
      <c r="N338" s="77" t="s">
        <v>4</v>
      </c>
      <c r="O338" s="79">
        <v>100</v>
      </c>
      <c r="P338" s="79">
        <v>100</v>
      </c>
      <c r="Q338" s="79">
        <v>1500</v>
      </c>
      <c r="R338" s="71" t="s">
        <v>299</v>
      </c>
      <c r="S338" s="71" t="s">
        <v>327</v>
      </c>
      <c r="T338" s="80" t="s">
        <v>328</v>
      </c>
      <c r="U338" s="80" t="s">
        <v>329</v>
      </c>
      <c r="V338" s="76" t="s">
        <v>5</v>
      </c>
      <c r="W338" s="76" t="s">
        <v>8</v>
      </c>
      <c r="X338" s="76"/>
      <c r="Y338" s="81">
        <v>2E-3</v>
      </c>
      <c r="Z338" s="82">
        <v>2.3E-5</v>
      </c>
      <c r="AA338" s="77" t="s">
        <v>722</v>
      </c>
      <c r="AB338" s="77" t="s">
        <v>722</v>
      </c>
      <c r="AC338" s="81" t="s">
        <v>722</v>
      </c>
    </row>
    <row r="339" spans="1:29" ht="25.5" x14ac:dyDescent="0.25">
      <c r="A339" s="71" t="s">
        <v>397</v>
      </c>
      <c r="B339" s="72" t="s">
        <v>398</v>
      </c>
      <c r="C339" s="71" t="s">
        <v>397</v>
      </c>
      <c r="D339" s="73" t="s">
        <v>2</v>
      </c>
      <c r="E339" s="74" t="s">
        <v>2</v>
      </c>
      <c r="F339" s="75" t="s">
        <v>968</v>
      </c>
      <c r="G339" s="76" t="s">
        <v>3</v>
      </c>
      <c r="H339" s="77">
        <v>5.25</v>
      </c>
      <c r="I339" s="77">
        <v>4.38</v>
      </c>
      <c r="J339" s="77">
        <v>3.3600000000000003</v>
      </c>
      <c r="K339" s="77">
        <v>3.9375</v>
      </c>
      <c r="L339" s="78">
        <v>5.25</v>
      </c>
      <c r="M339" s="78">
        <v>4.38</v>
      </c>
      <c r="N339" s="77" t="s">
        <v>4</v>
      </c>
      <c r="O339" s="79">
        <v>100</v>
      </c>
      <c r="P339" s="79">
        <v>100</v>
      </c>
      <c r="Q339" s="79">
        <v>4000</v>
      </c>
      <c r="R339" s="71" t="s">
        <v>299</v>
      </c>
      <c r="S339" s="71" t="s">
        <v>327</v>
      </c>
      <c r="T339" s="80" t="s">
        <v>328</v>
      </c>
      <c r="U339" s="80" t="s">
        <v>329</v>
      </c>
      <c r="V339" s="76" t="s">
        <v>5</v>
      </c>
      <c r="W339" s="76" t="s">
        <v>8</v>
      </c>
      <c r="X339" s="76"/>
      <c r="Y339" s="81">
        <v>1E-3</v>
      </c>
      <c r="Z339" s="82">
        <v>9.9999999999999995E-7</v>
      </c>
      <c r="AA339" s="77" t="s">
        <v>722</v>
      </c>
      <c r="AB339" s="77" t="s">
        <v>722</v>
      </c>
      <c r="AC339" s="81" t="s">
        <v>722</v>
      </c>
    </row>
    <row r="340" spans="1:29" ht="25.5" x14ac:dyDescent="0.25">
      <c r="A340" s="71" t="s">
        <v>399</v>
      </c>
      <c r="B340" s="72" t="s">
        <v>400</v>
      </c>
      <c r="C340" s="71" t="s">
        <v>399</v>
      </c>
      <c r="D340" s="73" t="s">
        <v>2</v>
      </c>
      <c r="E340" s="74" t="s">
        <v>2</v>
      </c>
      <c r="F340" s="75" t="s">
        <v>968</v>
      </c>
      <c r="G340" s="76" t="s">
        <v>3</v>
      </c>
      <c r="H340" s="77">
        <v>6.38</v>
      </c>
      <c r="I340" s="77">
        <v>5.32</v>
      </c>
      <c r="J340" s="77">
        <v>4.0831999999999997</v>
      </c>
      <c r="K340" s="77">
        <v>4.7850000000000001</v>
      </c>
      <c r="L340" s="78">
        <v>6.38</v>
      </c>
      <c r="M340" s="78">
        <v>5.32</v>
      </c>
      <c r="N340" s="77" t="s">
        <v>4</v>
      </c>
      <c r="O340" s="79">
        <v>110</v>
      </c>
      <c r="P340" s="79">
        <v>110</v>
      </c>
      <c r="Q340" s="79">
        <v>4400</v>
      </c>
      <c r="R340" s="71" t="s">
        <v>299</v>
      </c>
      <c r="S340" s="71" t="s">
        <v>327</v>
      </c>
      <c r="T340" s="80" t="s">
        <v>328</v>
      </c>
      <c r="U340" s="80" t="s">
        <v>329</v>
      </c>
      <c r="V340" s="76" t="s">
        <v>5</v>
      </c>
      <c r="W340" s="76" t="s">
        <v>8</v>
      </c>
      <c r="X340" s="76"/>
      <c r="Y340" s="81">
        <v>1E-3</v>
      </c>
      <c r="Z340" s="82">
        <v>3.0000000000000001E-6</v>
      </c>
      <c r="AA340" s="77" t="s">
        <v>722</v>
      </c>
      <c r="AB340" s="77" t="s">
        <v>722</v>
      </c>
      <c r="AC340" s="81" t="s">
        <v>722</v>
      </c>
    </row>
    <row r="341" spans="1:29" ht="25.5" x14ac:dyDescent="0.25">
      <c r="A341" s="71" t="s">
        <v>401</v>
      </c>
      <c r="B341" s="72" t="s">
        <v>402</v>
      </c>
      <c r="C341" s="71" t="s">
        <v>401</v>
      </c>
      <c r="D341" s="73" t="s">
        <v>2</v>
      </c>
      <c r="E341" s="74" t="s">
        <v>2</v>
      </c>
      <c r="F341" s="75" t="s">
        <v>968</v>
      </c>
      <c r="G341" s="76" t="s">
        <v>3</v>
      </c>
      <c r="H341" s="77">
        <v>18.66</v>
      </c>
      <c r="I341" s="77">
        <v>15.55</v>
      </c>
      <c r="J341" s="77">
        <v>11.942399999999999</v>
      </c>
      <c r="K341" s="77">
        <v>13.995000000000001</v>
      </c>
      <c r="L341" s="78">
        <v>18.66</v>
      </c>
      <c r="M341" s="78">
        <v>15.55</v>
      </c>
      <c r="N341" s="77" t="s">
        <v>4</v>
      </c>
      <c r="O341" s="79">
        <v>96</v>
      </c>
      <c r="P341" s="79">
        <v>96</v>
      </c>
      <c r="Q341" s="79">
        <v>1728</v>
      </c>
      <c r="R341" s="71" t="s">
        <v>299</v>
      </c>
      <c r="S341" s="71" t="s">
        <v>327</v>
      </c>
      <c r="T341" s="80" t="s">
        <v>328</v>
      </c>
      <c r="U341" s="80" t="s">
        <v>329</v>
      </c>
      <c r="V341" s="76" t="s">
        <v>5</v>
      </c>
      <c r="W341" s="76" t="s">
        <v>8</v>
      </c>
      <c r="X341" s="76"/>
      <c r="Y341" s="81">
        <v>1E-3</v>
      </c>
      <c r="Z341" s="82">
        <v>6.9999999999999999E-6</v>
      </c>
      <c r="AA341" s="77" t="s">
        <v>722</v>
      </c>
      <c r="AB341" s="77" t="s">
        <v>722</v>
      </c>
      <c r="AC341" s="81" t="s">
        <v>722</v>
      </c>
    </row>
    <row r="342" spans="1:29" s="96" customFormat="1" x14ac:dyDescent="0.25">
      <c r="A342" s="449" t="s">
        <v>904</v>
      </c>
      <c r="B342" s="449"/>
      <c r="C342" s="449"/>
      <c r="D342" s="449"/>
      <c r="E342" s="449"/>
      <c r="F342" s="449"/>
      <c r="G342" s="449"/>
      <c r="H342" s="449"/>
      <c r="I342" s="449"/>
      <c r="J342" s="449"/>
      <c r="K342" s="449"/>
      <c r="L342" s="449"/>
      <c r="M342" s="449"/>
      <c r="N342" s="449"/>
      <c r="O342" s="449"/>
      <c r="P342" s="449"/>
      <c r="Q342" s="449"/>
      <c r="R342" s="449"/>
      <c r="S342" s="449"/>
      <c r="T342" s="449"/>
      <c r="U342" s="449"/>
      <c r="V342" s="449"/>
      <c r="W342" s="449"/>
      <c r="X342" s="449"/>
      <c r="Y342" s="449"/>
      <c r="Z342" s="449"/>
      <c r="AA342" s="449"/>
      <c r="AB342" s="449"/>
      <c r="AC342" s="449"/>
    </row>
    <row r="343" spans="1:29" ht="25.5" x14ac:dyDescent="0.25">
      <c r="A343" s="84" t="s">
        <v>403</v>
      </c>
      <c r="B343" s="85" t="s">
        <v>404</v>
      </c>
      <c r="C343" s="84" t="s">
        <v>403</v>
      </c>
      <c r="D343" s="86" t="s">
        <v>2</v>
      </c>
      <c r="E343" s="87" t="s">
        <v>2</v>
      </c>
      <c r="F343" s="88" t="s">
        <v>968</v>
      </c>
      <c r="G343" s="89" t="s">
        <v>3</v>
      </c>
      <c r="H343" s="90">
        <v>339.83</v>
      </c>
      <c r="I343" s="90">
        <v>283.19</v>
      </c>
      <c r="J343" s="90">
        <f t="shared" ref="J343:J351" si="37">H343-(36 *H343/100)</f>
        <v>217.49119999999999</v>
      </c>
      <c r="K343" s="90">
        <f t="shared" ref="K343:K351" si="38">H343-(25 *H343/100)</f>
        <v>254.8725</v>
      </c>
      <c r="L343" s="91">
        <f t="shared" ref="L343:L351" si="39">IF(H343="","",H343*(1-$H$346))</f>
        <v>-86486.735000000001</v>
      </c>
      <c r="M343" s="91">
        <f t="shared" ref="M343:M351" si="40">IF(I343="","",I343*(1-$H$346))</f>
        <v>-72071.854999999996</v>
      </c>
      <c r="N343" s="90" t="s">
        <v>4</v>
      </c>
      <c r="O343" s="92">
        <v>40</v>
      </c>
      <c r="P343" s="92">
        <v>40</v>
      </c>
      <c r="Q343" s="92">
        <v>200</v>
      </c>
      <c r="R343" s="84" t="s">
        <v>299</v>
      </c>
      <c r="S343" s="84" t="s">
        <v>327</v>
      </c>
      <c r="T343" s="93" t="s">
        <v>405</v>
      </c>
      <c r="U343" s="93"/>
      <c r="V343" s="89" t="s">
        <v>5</v>
      </c>
      <c r="W343" s="89" t="s">
        <v>8</v>
      </c>
      <c r="X343" s="89"/>
      <c r="Y343" s="94">
        <v>3.0000000000000001E-3</v>
      </c>
      <c r="Z343" s="95">
        <v>4.9039999999999998E-5</v>
      </c>
      <c r="AA343" s="90" t="e">
        <f t="shared" ref="AA343:AA351" si="41">IF(OR(F343="",L343=""),"",F343*L343)</f>
        <v>#VALUE!</v>
      </c>
      <c r="AB343" s="90" t="e">
        <f t="shared" ref="AB343:AB351" si="42">IF(OR(F343="",Y343=""),"",Y343*F343)</f>
        <v>#VALUE!</v>
      </c>
      <c r="AC343" s="94" t="e">
        <f t="shared" ref="AC343:AC351" si="43">IF(OR(F343="",Z343=""),"",F343*Z343)</f>
        <v>#VALUE!</v>
      </c>
    </row>
    <row r="344" spans="1:29" ht="25.5" x14ac:dyDescent="0.25">
      <c r="A344" s="84" t="s">
        <v>406</v>
      </c>
      <c r="B344" s="85" t="s">
        <v>407</v>
      </c>
      <c r="C344" s="84" t="s">
        <v>406</v>
      </c>
      <c r="D344" s="86" t="s">
        <v>2</v>
      </c>
      <c r="E344" s="87" t="s">
        <v>2</v>
      </c>
      <c r="F344" s="88" t="s">
        <v>968</v>
      </c>
      <c r="G344" s="89" t="s">
        <v>3</v>
      </c>
      <c r="H344" s="90">
        <v>357.72</v>
      </c>
      <c r="I344" s="90">
        <v>298.10000000000002</v>
      </c>
      <c r="J344" s="90">
        <f t="shared" si="37"/>
        <v>228.9408</v>
      </c>
      <c r="K344" s="90">
        <f t="shared" si="38"/>
        <v>268.29000000000002</v>
      </c>
      <c r="L344" s="91">
        <f t="shared" si="39"/>
        <v>-91039.74</v>
      </c>
      <c r="M344" s="91">
        <f t="shared" si="40"/>
        <v>-75866.450000000012</v>
      </c>
      <c r="N344" s="90" t="s">
        <v>4</v>
      </c>
      <c r="O344" s="92">
        <v>1</v>
      </c>
      <c r="P344" s="92">
        <v>1</v>
      </c>
      <c r="Q344" s="92">
        <v>400</v>
      </c>
      <c r="R344" s="84" t="s">
        <v>299</v>
      </c>
      <c r="S344" s="84" t="s">
        <v>327</v>
      </c>
      <c r="T344" s="93" t="s">
        <v>405</v>
      </c>
      <c r="U344" s="93"/>
      <c r="V344" s="89" t="s">
        <v>5</v>
      </c>
      <c r="W344" s="89" t="s">
        <v>8</v>
      </c>
      <c r="X344" s="89"/>
      <c r="Y344" s="94">
        <v>3.0000000000000001E-3</v>
      </c>
      <c r="Z344" s="95">
        <v>4.9039999999999998E-5</v>
      </c>
      <c r="AA344" s="90" t="e">
        <f t="shared" si="41"/>
        <v>#VALUE!</v>
      </c>
      <c r="AB344" s="90" t="e">
        <f t="shared" si="42"/>
        <v>#VALUE!</v>
      </c>
      <c r="AC344" s="94" t="e">
        <f t="shared" si="43"/>
        <v>#VALUE!</v>
      </c>
    </row>
    <row r="345" spans="1:29" ht="25.5" x14ac:dyDescent="0.25">
      <c r="A345" s="84" t="s">
        <v>408</v>
      </c>
      <c r="B345" s="85" t="s">
        <v>409</v>
      </c>
      <c r="C345" s="84" t="s">
        <v>408</v>
      </c>
      <c r="D345" s="86" t="s">
        <v>2</v>
      </c>
      <c r="E345" s="87" t="s">
        <v>2</v>
      </c>
      <c r="F345" s="88" t="s">
        <v>968</v>
      </c>
      <c r="G345" s="89" t="s">
        <v>3</v>
      </c>
      <c r="H345" s="90">
        <v>242.74</v>
      </c>
      <c r="I345" s="90">
        <v>202.28</v>
      </c>
      <c r="J345" s="90">
        <f t="shared" si="37"/>
        <v>155.35360000000003</v>
      </c>
      <c r="K345" s="90">
        <f t="shared" si="38"/>
        <v>182.05500000000001</v>
      </c>
      <c r="L345" s="91">
        <f t="shared" si="39"/>
        <v>-61777.33</v>
      </c>
      <c r="M345" s="91">
        <f t="shared" si="40"/>
        <v>-51480.26</v>
      </c>
      <c r="N345" s="90" t="s">
        <v>4</v>
      </c>
      <c r="O345" s="92">
        <v>40</v>
      </c>
      <c r="P345" s="92">
        <v>40</v>
      </c>
      <c r="Q345" s="92">
        <v>200</v>
      </c>
      <c r="R345" s="84" t="s">
        <v>299</v>
      </c>
      <c r="S345" s="84" t="s">
        <v>327</v>
      </c>
      <c r="T345" s="93" t="s">
        <v>405</v>
      </c>
      <c r="U345" s="93"/>
      <c r="V345" s="89" t="s">
        <v>5</v>
      </c>
      <c r="W345" s="89" t="s">
        <v>8</v>
      </c>
      <c r="X345" s="89"/>
      <c r="Y345" s="94">
        <v>3.0000000000000001E-3</v>
      </c>
      <c r="Z345" s="95">
        <v>2.1999999999999999E-2</v>
      </c>
      <c r="AA345" s="90" t="e">
        <f t="shared" si="41"/>
        <v>#VALUE!</v>
      </c>
      <c r="AB345" s="90" t="e">
        <f t="shared" si="42"/>
        <v>#VALUE!</v>
      </c>
      <c r="AC345" s="94" t="e">
        <f t="shared" si="43"/>
        <v>#VALUE!</v>
      </c>
    </row>
    <row r="346" spans="1:29" ht="25.5" x14ac:dyDescent="0.25">
      <c r="A346" s="84" t="s">
        <v>410</v>
      </c>
      <c r="B346" s="85" t="s">
        <v>411</v>
      </c>
      <c r="C346" s="84" t="s">
        <v>410</v>
      </c>
      <c r="D346" s="86" t="s">
        <v>2</v>
      </c>
      <c r="E346" s="87" t="s">
        <v>2</v>
      </c>
      <c r="F346" s="88" t="s">
        <v>968</v>
      </c>
      <c r="G346" s="89" t="s">
        <v>3</v>
      </c>
      <c r="H346" s="90">
        <v>255.5</v>
      </c>
      <c r="I346" s="90">
        <v>212.92</v>
      </c>
      <c r="J346" s="90">
        <f t="shared" si="37"/>
        <v>163.51999999999998</v>
      </c>
      <c r="K346" s="90">
        <f t="shared" si="38"/>
        <v>191.625</v>
      </c>
      <c r="L346" s="91">
        <f t="shared" si="39"/>
        <v>-65024.75</v>
      </c>
      <c r="M346" s="91">
        <f t="shared" si="40"/>
        <v>-54188.14</v>
      </c>
      <c r="N346" s="90" t="s">
        <v>4</v>
      </c>
      <c r="O346" s="92">
        <v>1</v>
      </c>
      <c r="P346" s="92">
        <v>1</v>
      </c>
      <c r="Q346" s="92">
        <v>400</v>
      </c>
      <c r="R346" s="84" t="s">
        <v>299</v>
      </c>
      <c r="S346" s="84" t="s">
        <v>327</v>
      </c>
      <c r="T346" s="93" t="s">
        <v>405</v>
      </c>
      <c r="U346" s="93"/>
      <c r="V346" s="89" t="s">
        <v>5</v>
      </c>
      <c r="W346" s="89" t="s">
        <v>8</v>
      </c>
      <c r="X346" s="89"/>
      <c r="Y346" s="94">
        <v>3.0000000000000001E-3</v>
      </c>
      <c r="Z346" s="95">
        <v>2.1999999999999999E-5</v>
      </c>
      <c r="AA346" s="90" t="e">
        <f t="shared" si="41"/>
        <v>#VALUE!</v>
      </c>
      <c r="AB346" s="90" t="e">
        <f t="shared" si="42"/>
        <v>#VALUE!</v>
      </c>
      <c r="AC346" s="94" t="e">
        <f t="shared" si="43"/>
        <v>#VALUE!</v>
      </c>
    </row>
    <row r="347" spans="1:29" ht="25.5" x14ac:dyDescent="0.25">
      <c r="A347" s="84" t="s">
        <v>412</v>
      </c>
      <c r="B347" s="85" t="s">
        <v>413</v>
      </c>
      <c r="C347" s="84" t="s">
        <v>412</v>
      </c>
      <c r="D347" s="86" t="s">
        <v>2</v>
      </c>
      <c r="E347" s="87" t="s">
        <v>2</v>
      </c>
      <c r="F347" s="88" t="s">
        <v>968</v>
      </c>
      <c r="G347" s="89" t="s">
        <v>3</v>
      </c>
      <c r="H347" s="90">
        <v>291.27</v>
      </c>
      <c r="I347" s="90">
        <v>242.73</v>
      </c>
      <c r="J347" s="90">
        <f t="shared" si="37"/>
        <v>186.4128</v>
      </c>
      <c r="K347" s="90">
        <f t="shared" si="38"/>
        <v>218.45249999999999</v>
      </c>
      <c r="L347" s="91">
        <f t="shared" si="39"/>
        <v>-74128.214999999997</v>
      </c>
      <c r="M347" s="91">
        <f t="shared" si="40"/>
        <v>-61774.784999999996</v>
      </c>
      <c r="N347" s="90" t="s">
        <v>4</v>
      </c>
      <c r="O347" s="92">
        <v>40</v>
      </c>
      <c r="P347" s="92">
        <v>40</v>
      </c>
      <c r="Q347" s="92">
        <v>200</v>
      </c>
      <c r="R347" s="84" t="s">
        <v>299</v>
      </c>
      <c r="S347" s="84" t="s">
        <v>327</v>
      </c>
      <c r="T347" s="93" t="s">
        <v>405</v>
      </c>
      <c r="U347" s="93"/>
      <c r="V347" s="89" t="s">
        <v>5</v>
      </c>
      <c r="W347" s="89" t="s">
        <v>8</v>
      </c>
      <c r="X347" s="89"/>
      <c r="Y347" s="94">
        <v>3.0000000000000001E-3</v>
      </c>
      <c r="Z347" s="95">
        <v>3.2879999999999997E-5</v>
      </c>
      <c r="AA347" s="90" t="e">
        <f t="shared" si="41"/>
        <v>#VALUE!</v>
      </c>
      <c r="AB347" s="90" t="e">
        <f t="shared" si="42"/>
        <v>#VALUE!</v>
      </c>
      <c r="AC347" s="94" t="e">
        <f t="shared" si="43"/>
        <v>#VALUE!</v>
      </c>
    </row>
    <row r="348" spans="1:29" ht="25.5" x14ac:dyDescent="0.25">
      <c r="A348" s="84" t="s">
        <v>414</v>
      </c>
      <c r="B348" s="85" t="s">
        <v>415</v>
      </c>
      <c r="C348" s="84" t="s">
        <v>414</v>
      </c>
      <c r="D348" s="86" t="s">
        <v>2</v>
      </c>
      <c r="E348" s="87" t="s">
        <v>2</v>
      </c>
      <c r="F348" s="88" t="s">
        <v>968</v>
      </c>
      <c r="G348" s="89" t="s">
        <v>3</v>
      </c>
      <c r="H348" s="90">
        <v>306.61</v>
      </c>
      <c r="I348" s="90">
        <v>255.51</v>
      </c>
      <c r="J348" s="90">
        <f t="shared" si="37"/>
        <v>196.2304</v>
      </c>
      <c r="K348" s="90">
        <f t="shared" si="38"/>
        <v>229.95750000000001</v>
      </c>
      <c r="L348" s="91">
        <f t="shared" si="39"/>
        <v>-78032.24500000001</v>
      </c>
      <c r="M348" s="91">
        <f t="shared" si="40"/>
        <v>-65027.294999999998</v>
      </c>
      <c r="N348" s="90" t="s">
        <v>4</v>
      </c>
      <c r="O348" s="92">
        <v>1</v>
      </c>
      <c r="P348" s="92">
        <v>1</v>
      </c>
      <c r="Q348" s="92">
        <v>400</v>
      </c>
      <c r="R348" s="84" t="s">
        <v>299</v>
      </c>
      <c r="S348" s="84" t="s">
        <v>327</v>
      </c>
      <c r="T348" s="93" t="s">
        <v>405</v>
      </c>
      <c r="U348" s="93"/>
      <c r="V348" s="89" t="s">
        <v>5</v>
      </c>
      <c r="W348" s="89" t="s">
        <v>8</v>
      </c>
      <c r="X348" s="89"/>
      <c r="Y348" s="94">
        <v>3.0000000000000001E-3</v>
      </c>
      <c r="Z348" s="95">
        <v>3.2879999999999997E-5</v>
      </c>
      <c r="AA348" s="90" t="e">
        <f t="shared" si="41"/>
        <v>#VALUE!</v>
      </c>
      <c r="AB348" s="90" t="e">
        <f t="shared" si="42"/>
        <v>#VALUE!</v>
      </c>
      <c r="AC348" s="94" t="e">
        <f t="shared" si="43"/>
        <v>#VALUE!</v>
      </c>
    </row>
    <row r="349" spans="1:29" ht="38.25" x14ac:dyDescent="0.25">
      <c r="A349" s="84" t="s">
        <v>416</v>
      </c>
      <c r="B349" s="85" t="s">
        <v>417</v>
      </c>
      <c r="C349" s="84" t="s">
        <v>416</v>
      </c>
      <c r="D349" s="86" t="s">
        <v>2</v>
      </c>
      <c r="E349" s="87" t="s">
        <v>2</v>
      </c>
      <c r="F349" s="88" t="s">
        <v>968</v>
      </c>
      <c r="G349" s="89" t="s">
        <v>3</v>
      </c>
      <c r="H349" s="90">
        <v>76.819999999999993</v>
      </c>
      <c r="I349" s="90">
        <v>64.02</v>
      </c>
      <c r="J349" s="90">
        <f t="shared" si="37"/>
        <v>49.1648</v>
      </c>
      <c r="K349" s="90">
        <f t="shared" si="38"/>
        <v>57.614999999999995</v>
      </c>
      <c r="L349" s="91">
        <f t="shared" si="39"/>
        <v>-19550.689999999999</v>
      </c>
      <c r="M349" s="91">
        <f t="shared" si="40"/>
        <v>-16293.089999999998</v>
      </c>
      <c r="N349" s="90" t="s">
        <v>4</v>
      </c>
      <c r="O349" s="92">
        <v>10</v>
      </c>
      <c r="P349" s="92">
        <v>1</v>
      </c>
      <c r="Q349" s="92">
        <v>300</v>
      </c>
      <c r="R349" s="84" t="s">
        <v>299</v>
      </c>
      <c r="S349" s="84" t="s">
        <v>418</v>
      </c>
      <c r="T349" s="93"/>
      <c r="U349" s="93"/>
      <c r="V349" s="89" t="s">
        <v>5</v>
      </c>
      <c r="W349" s="89" t="s">
        <v>8</v>
      </c>
      <c r="X349" s="89"/>
      <c r="Y349" s="94">
        <v>0.01</v>
      </c>
      <c r="Z349" s="95">
        <v>9.0000000000000006E-5</v>
      </c>
      <c r="AA349" s="90" t="e">
        <f t="shared" si="41"/>
        <v>#VALUE!</v>
      </c>
      <c r="AB349" s="90" t="e">
        <f t="shared" si="42"/>
        <v>#VALUE!</v>
      </c>
      <c r="AC349" s="94" t="e">
        <f t="shared" si="43"/>
        <v>#VALUE!</v>
      </c>
    </row>
    <row r="350" spans="1:29" ht="38.25" x14ac:dyDescent="0.25">
      <c r="A350" s="84" t="s">
        <v>419</v>
      </c>
      <c r="B350" s="85" t="s">
        <v>420</v>
      </c>
      <c r="C350" s="84" t="s">
        <v>419</v>
      </c>
      <c r="D350" s="86" t="s">
        <v>2</v>
      </c>
      <c r="E350" s="87" t="s">
        <v>2</v>
      </c>
      <c r="F350" s="88" t="s">
        <v>968</v>
      </c>
      <c r="G350" s="89" t="s">
        <v>3</v>
      </c>
      <c r="H350" s="90">
        <v>76.819999999999993</v>
      </c>
      <c r="I350" s="90">
        <v>64.02</v>
      </c>
      <c r="J350" s="90">
        <f t="shared" si="37"/>
        <v>49.1648</v>
      </c>
      <c r="K350" s="90">
        <f t="shared" si="38"/>
        <v>57.614999999999995</v>
      </c>
      <c r="L350" s="91">
        <f t="shared" si="39"/>
        <v>-19550.689999999999</v>
      </c>
      <c r="M350" s="91">
        <f t="shared" si="40"/>
        <v>-16293.089999999998</v>
      </c>
      <c r="N350" s="90" t="s">
        <v>4</v>
      </c>
      <c r="O350" s="92">
        <v>10</v>
      </c>
      <c r="P350" s="92">
        <v>1</v>
      </c>
      <c r="Q350" s="92">
        <v>300</v>
      </c>
      <c r="R350" s="84" t="s">
        <v>299</v>
      </c>
      <c r="S350" s="84" t="s">
        <v>418</v>
      </c>
      <c r="T350" s="93"/>
      <c r="U350" s="93"/>
      <c r="V350" s="89" t="s">
        <v>5</v>
      </c>
      <c r="W350" s="89" t="s">
        <v>8</v>
      </c>
      <c r="X350" s="89"/>
      <c r="Y350" s="94">
        <v>0.01</v>
      </c>
      <c r="Z350" s="95">
        <v>4.5000000000000003E-5</v>
      </c>
      <c r="AA350" s="90" t="e">
        <f t="shared" si="41"/>
        <v>#VALUE!</v>
      </c>
      <c r="AB350" s="90" t="e">
        <f t="shared" si="42"/>
        <v>#VALUE!</v>
      </c>
      <c r="AC350" s="94" t="e">
        <f t="shared" si="43"/>
        <v>#VALUE!</v>
      </c>
    </row>
    <row r="351" spans="1:29" ht="38.25" x14ac:dyDescent="0.25">
      <c r="A351" s="84" t="s">
        <v>421</v>
      </c>
      <c r="B351" s="85" t="s">
        <v>422</v>
      </c>
      <c r="C351" s="84" t="s">
        <v>421</v>
      </c>
      <c r="D351" s="86" t="s">
        <v>2</v>
      </c>
      <c r="E351" s="87" t="s">
        <v>2</v>
      </c>
      <c r="F351" s="88" t="s">
        <v>968</v>
      </c>
      <c r="G351" s="89" t="s">
        <v>3</v>
      </c>
      <c r="H351" s="90">
        <v>608.46</v>
      </c>
      <c r="I351" s="90">
        <v>507.05</v>
      </c>
      <c r="J351" s="90">
        <f t="shared" si="37"/>
        <v>389.4144</v>
      </c>
      <c r="K351" s="90">
        <f t="shared" si="38"/>
        <v>456.34500000000003</v>
      </c>
      <c r="L351" s="91">
        <f t="shared" si="39"/>
        <v>-154853.07</v>
      </c>
      <c r="M351" s="91">
        <f t="shared" si="40"/>
        <v>-129044.22500000001</v>
      </c>
      <c r="N351" s="90" t="s">
        <v>4</v>
      </c>
      <c r="O351" s="92">
        <v>1</v>
      </c>
      <c r="P351" s="92">
        <v>1</v>
      </c>
      <c r="Q351" s="92">
        <v>52</v>
      </c>
      <c r="R351" s="84" t="s">
        <v>299</v>
      </c>
      <c r="S351" s="84" t="s">
        <v>418</v>
      </c>
      <c r="T351" s="93"/>
      <c r="U351" s="93"/>
      <c r="V351" s="89" t="s">
        <v>5</v>
      </c>
      <c r="W351" s="89" t="s">
        <v>10</v>
      </c>
      <c r="X351" s="89"/>
      <c r="Y351" s="94">
        <v>0.186</v>
      </c>
      <c r="Z351" s="95">
        <v>2.4520000000000002E-3</v>
      </c>
      <c r="AA351" s="90" t="e">
        <f t="shared" si="41"/>
        <v>#VALUE!</v>
      </c>
      <c r="AB351" s="90" t="e">
        <f t="shared" si="42"/>
        <v>#VALUE!</v>
      </c>
      <c r="AC351" s="94" t="e">
        <f t="shared" si="43"/>
        <v>#VALUE!</v>
      </c>
    </row>
    <row r="352" spans="1:29" s="58" customFormat="1" x14ac:dyDescent="0.25">
      <c r="A352" s="450" t="s">
        <v>905</v>
      </c>
      <c r="B352" s="450"/>
      <c r="C352" s="450"/>
      <c r="D352" s="450"/>
      <c r="E352" s="450"/>
      <c r="F352" s="450"/>
      <c r="G352" s="450"/>
      <c r="H352" s="450"/>
      <c r="I352" s="450"/>
      <c r="J352" s="450"/>
      <c r="K352" s="450"/>
      <c r="L352" s="450"/>
      <c r="M352" s="450"/>
      <c r="N352" s="450"/>
      <c r="O352" s="450"/>
      <c r="P352" s="450"/>
      <c r="Q352" s="450"/>
      <c r="R352" s="450"/>
      <c r="S352" s="450"/>
      <c r="T352" s="450"/>
      <c r="U352" s="450"/>
      <c r="V352" s="450"/>
      <c r="W352" s="450"/>
      <c r="X352" s="450"/>
      <c r="Y352" s="450"/>
      <c r="Z352" s="450"/>
      <c r="AA352" s="450"/>
      <c r="AB352" s="450"/>
      <c r="AC352" s="450"/>
    </row>
    <row r="353" spans="1:29" ht="38.25" x14ac:dyDescent="0.25">
      <c r="A353" s="33" t="s">
        <v>423</v>
      </c>
      <c r="B353" s="34" t="s">
        <v>424</v>
      </c>
      <c r="C353" s="33" t="s">
        <v>423</v>
      </c>
      <c r="D353" s="35" t="s">
        <v>2</v>
      </c>
      <c r="E353" s="36" t="s">
        <v>2</v>
      </c>
      <c r="F353" s="37" t="s">
        <v>968</v>
      </c>
      <c r="G353" s="38" t="s">
        <v>3</v>
      </c>
      <c r="H353" s="39">
        <v>2553.98</v>
      </c>
      <c r="I353" s="39">
        <v>2128.3200000000002</v>
      </c>
      <c r="J353" s="39">
        <f t="shared" ref="J353:J363" si="44">H353-(36 *H353/100)</f>
        <v>1634.5472</v>
      </c>
      <c r="K353" s="39">
        <f t="shared" ref="K353:K363" si="45">H353-(25 *H353/100)</f>
        <v>1915.4850000000001</v>
      </c>
      <c r="L353" s="40">
        <f t="shared" ref="L353:L363" si="46">IF(H353="","",H353*(1-$H$356))</f>
        <v>-9525247.1886</v>
      </c>
      <c r="M353" s="40">
        <f t="shared" ref="M353:M363" si="47">IF(I353="","",I353*(1-$H$356))</f>
        <v>-7937718.4224000005</v>
      </c>
      <c r="N353" s="39" t="s">
        <v>4</v>
      </c>
      <c r="O353" s="41">
        <v>30</v>
      </c>
      <c r="P353" s="41">
        <v>1</v>
      </c>
      <c r="Q353" s="41">
        <v>30</v>
      </c>
      <c r="R353" s="33" t="s">
        <v>299</v>
      </c>
      <c r="S353" s="33" t="s">
        <v>418</v>
      </c>
      <c r="T353" s="42"/>
      <c r="U353" s="42"/>
      <c r="V353" s="38" t="s">
        <v>7</v>
      </c>
      <c r="W353" s="38" t="s">
        <v>8</v>
      </c>
      <c r="X353" s="38"/>
      <c r="Y353" s="43">
        <v>0.37</v>
      </c>
      <c r="Z353" s="44">
        <v>1.24025E-3</v>
      </c>
      <c r="AA353" s="39" t="e">
        <f t="shared" ref="AA353:AA363" si="48">IF(OR(F353="",L353=""),"",F353*L353)</f>
        <v>#VALUE!</v>
      </c>
      <c r="AB353" s="39" t="e">
        <f t="shared" ref="AB353:AB363" si="49">IF(OR(F353="",Y353=""),"",Y353*F353)</f>
        <v>#VALUE!</v>
      </c>
      <c r="AC353" s="43" t="e">
        <f t="shared" ref="AC353:AC363" si="50">IF(OR(F353="",Z353=""),"",F353*Z353)</f>
        <v>#VALUE!</v>
      </c>
    </row>
    <row r="354" spans="1:29" ht="38.25" x14ac:dyDescent="0.25">
      <c r="A354" s="33" t="s">
        <v>425</v>
      </c>
      <c r="B354" s="34" t="s">
        <v>426</v>
      </c>
      <c r="C354" s="33" t="s">
        <v>425</v>
      </c>
      <c r="D354" s="35" t="s">
        <v>2</v>
      </c>
      <c r="E354" s="36" t="s">
        <v>2</v>
      </c>
      <c r="F354" s="37" t="s">
        <v>968</v>
      </c>
      <c r="G354" s="38" t="s">
        <v>3</v>
      </c>
      <c r="H354" s="39">
        <v>2370.9699999999998</v>
      </c>
      <c r="I354" s="39">
        <v>1975.81</v>
      </c>
      <c r="J354" s="39">
        <f t="shared" si="44"/>
        <v>1517.4207999999999</v>
      </c>
      <c r="K354" s="39">
        <f t="shared" si="45"/>
        <v>1778.2275</v>
      </c>
      <c r="L354" s="40">
        <f t="shared" si="46"/>
        <v>-8842698.5828999989</v>
      </c>
      <c r="M354" s="40">
        <f t="shared" si="47"/>
        <v>-7368921.7017000001</v>
      </c>
      <c r="N354" s="39" t="s">
        <v>4</v>
      </c>
      <c r="O354" s="41">
        <v>1</v>
      </c>
      <c r="P354" s="41">
        <v>1</v>
      </c>
      <c r="Q354" s="41">
        <v>26</v>
      </c>
      <c r="R354" s="33" t="s">
        <v>299</v>
      </c>
      <c r="S354" s="33" t="s">
        <v>418</v>
      </c>
      <c r="T354" s="42"/>
      <c r="U354" s="42"/>
      <c r="V354" s="38" t="s">
        <v>5</v>
      </c>
      <c r="W354" s="38" t="s">
        <v>8</v>
      </c>
      <c r="X354" s="38"/>
      <c r="Y354" s="43">
        <v>0.36799999999999999</v>
      </c>
      <c r="Z354" s="44">
        <v>1.681E-3</v>
      </c>
      <c r="AA354" s="39" t="e">
        <f t="shared" si="48"/>
        <v>#VALUE!</v>
      </c>
      <c r="AB354" s="39" t="e">
        <f t="shared" si="49"/>
        <v>#VALUE!</v>
      </c>
      <c r="AC354" s="43" t="e">
        <f t="shared" si="50"/>
        <v>#VALUE!</v>
      </c>
    </row>
    <row r="355" spans="1:29" ht="38.25" x14ac:dyDescent="0.25">
      <c r="A355" s="33" t="s">
        <v>427</v>
      </c>
      <c r="B355" s="34" t="s">
        <v>428</v>
      </c>
      <c r="C355" s="33" t="s">
        <v>427</v>
      </c>
      <c r="D355" s="35" t="s">
        <v>2</v>
      </c>
      <c r="E355" s="36" t="s">
        <v>2</v>
      </c>
      <c r="F355" s="37" t="s">
        <v>968</v>
      </c>
      <c r="G355" s="38" t="s">
        <v>3</v>
      </c>
      <c r="H355" s="39">
        <v>3099.12</v>
      </c>
      <c r="I355" s="39">
        <v>2582.6</v>
      </c>
      <c r="J355" s="39">
        <f t="shared" si="44"/>
        <v>1983.4367999999999</v>
      </c>
      <c r="K355" s="39">
        <f t="shared" si="45"/>
        <v>2324.34</v>
      </c>
      <c r="L355" s="40">
        <f t="shared" si="46"/>
        <v>-11558384.978399999</v>
      </c>
      <c r="M355" s="40">
        <f t="shared" si="47"/>
        <v>-9631987.4820000008</v>
      </c>
      <c r="N355" s="39" t="s">
        <v>4</v>
      </c>
      <c r="O355" s="41">
        <v>20</v>
      </c>
      <c r="P355" s="41">
        <v>1</v>
      </c>
      <c r="Q355" s="41">
        <v>20</v>
      </c>
      <c r="R355" s="33" t="s">
        <v>299</v>
      </c>
      <c r="S355" s="33" t="s">
        <v>418</v>
      </c>
      <c r="T355" s="42"/>
      <c r="U355" s="42"/>
      <c r="V355" s="38" t="s">
        <v>7</v>
      </c>
      <c r="W355" s="38" t="s">
        <v>8</v>
      </c>
      <c r="X355" s="38"/>
      <c r="Y355" s="43">
        <v>0.48</v>
      </c>
      <c r="Z355" s="44">
        <v>1.573E-3</v>
      </c>
      <c r="AA355" s="39" t="e">
        <f t="shared" si="48"/>
        <v>#VALUE!</v>
      </c>
      <c r="AB355" s="39" t="e">
        <f t="shared" si="49"/>
        <v>#VALUE!</v>
      </c>
      <c r="AC355" s="43" t="e">
        <f t="shared" si="50"/>
        <v>#VALUE!</v>
      </c>
    </row>
    <row r="356" spans="1:29" ht="38.25" x14ac:dyDescent="0.25">
      <c r="A356" s="33" t="s">
        <v>429</v>
      </c>
      <c r="B356" s="34" t="s">
        <v>430</v>
      </c>
      <c r="C356" s="33" t="s">
        <v>429</v>
      </c>
      <c r="D356" s="35" t="s">
        <v>2</v>
      </c>
      <c r="E356" s="36" t="s">
        <v>2</v>
      </c>
      <c r="F356" s="37" t="s">
        <v>968</v>
      </c>
      <c r="G356" s="38" t="s">
        <v>3</v>
      </c>
      <c r="H356" s="39">
        <v>3730.57</v>
      </c>
      <c r="I356" s="39">
        <v>3108.81</v>
      </c>
      <c r="J356" s="39">
        <f t="shared" si="44"/>
        <v>2387.5648000000001</v>
      </c>
      <c r="K356" s="39">
        <f t="shared" si="45"/>
        <v>2797.9275000000002</v>
      </c>
      <c r="L356" s="40">
        <f t="shared" si="46"/>
        <v>-13913421.954900002</v>
      </c>
      <c r="M356" s="40">
        <f t="shared" si="47"/>
        <v>-11594524.511700001</v>
      </c>
      <c r="N356" s="39" t="s">
        <v>4</v>
      </c>
      <c r="O356" s="41">
        <v>1</v>
      </c>
      <c r="P356" s="41">
        <v>1</v>
      </c>
      <c r="Q356" s="41">
        <v>15</v>
      </c>
      <c r="R356" s="33" t="s">
        <v>299</v>
      </c>
      <c r="S356" s="33" t="s">
        <v>418</v>
      </c>
      <c r="T356" s="42"/>
      <c r="U356" s="42"/>
      <c r="V356" s="38" t="s">
        <v>5</v>
      </c>
      <c r="W356" s="38" t="s">
        <v>8</v>
      </c>
      <c r="X356" s="38"/>
      <c r="Y356" s="43">
        <v>0.55000000000000004</v>
      </c>
      <c r="Z356" s="44">
        <v>1.9057499999999999E-3</v>
      </c>
      <c r="AA356" s="39" t="e">
        <f t="shared" si="48"/>
        <v>#VALUE!</v>
      </c>
      <c r="AB356" s="39" t="e">
        <f t="shared" si="49"/>
        <v>#VALUE!</v>
      </c>
      <c r="AC356" s="43" t="e">
        <f t="shared" si="50"/>
        <v>#VALUE!</v>
      </c>
    </row>
    <row r="357" spans="1:29" ht="38.25" x14ac:dyDescent="0.25">
      <c r="A357" s="33" t="s">
        <v>431</v>
      </c>
      <c r="B357" s="34" t="s">
        <v>432</v>
      </c>
      <c r="C357" s="33" t="s">
        <v>431</v>
      </c>
      <c r="D357" s="35" t="s">
        <v>2</v>
      </c>
      <c r="E357" s="36" t="s">
        <v>2</v>
      </c>
      <c r="F357" s="37" t="s">
        <v>968</v>
      </c>
      <c r="G357" s="38" t="s">
        <v>3</v>
      </c>
      <c r="H357" s="39">
        <v>4255.79</v>
      </c>
      <c r="I357" s="39">
        <v>3546.49</v>
      </c>
      <c r="J357" s="39">
        <f t="shared" si="44"/>
        <v>2723.7056000000002</v>
      </c>
      <c r="K357" s="39">
        <f t="shared" si="45"/>
        <v>3191.8424999999997</v>
      </c>
      <c r="L357" s="40">
        <f t="shared" si="46"/>
        <v>-15872266.7103</v>
      </c>
      <c r="M357" s="40">
        <f t="shared" si="47"/>
        <v>-13226882.7093</v>
      </c>
      <c r="N357" s="39" t="s">
        <v>4</v>
      </c>
      <c r="O357" s="41">
        <v>1</v>
      </c>
      <c r="P357" s="41">
        <v>1</v>
      </c>
      <c r="Q357" s="41">
        <v>10</v>
      </c>
      <c r="R357" s="33" t="s">
        <v>299</v>
      </c>
      <c r="S357" s="33" t="s">
        <v>418</v>
      </c>
      <c r="T357" s="42"/>
      <c r="U357" s="42"/>
      <c r="V357" s="38" t="s">
        <v>5</v>
      </c>
      <c r="W357" s="38" t="s">
        <v>8</v>
      </c>
      <c r="X357" s="38"/>
      <c r="Y357" s="43">
        <v>0.77</v>
      </c>
      <c r="Z357" s="44">
        <v>2.1175E-3</v>
      </c>
      <c r="AA357" s="39" t="e">
        <f t="shared" si="48"/>
        <v>#VALUE!</v>
      </c>
      <c r="AB357" s="39" t="e">
        <f t="shared" si="49"/>
        <v>#VALUE!</v>
      </c>
      <c r="AC357" s="43" t="e">
        <f t="shared" si="50"/>
        <v>#VALUE!</v>
      </c>
    </row>
    <row r="358" spans="1:29" ht="38.25" x14ac:dyDescent="0.25">
      <c r="A358" s="33" t="s">
        <v>433</v>
      </c>
      <c r="B358" s="34" t="s">
        <v>434</v>
      </c>
      <c r="C358" s="33" t="s">
        <v>433</v>
      </c>
      <c r="D358" s="35" t="s">
        <v>2</v>
      </c>
      <c r="E358" s="36" t="s">
        <v>2</v>
      </c>
      <c r="F358" s="37" t="s">
        <v>968</v>
      </c>
      <c r="G358" s="38" t="s">
        <v>3</v>
      </c>
      <c r="H358" s="39">
        <v>1403.79</v>
      </c>
      <c r="I358" s="39">
        <v>1169.83</v>
      </c>
      <c r="J358" s="39">
        <f t="shared" si="44"/>
        <v>898.42559999999992</v>
      </c>
      <c r="K358" s="39">
        <f t="shared" si="45"/>
        <v>1052.8425</v>
      </c>
      <c r="L358" s="40">
        <f t="shared" si="46"/>
        <v>-5235533.0702999998</v>
      </c>
      <c r="M358" s="40">
        <f t="shared" si="47"/>
        <v>-4362962.8730999995</v>
      </c>
      <c r="N358" s="39" t="s">
        <v>4</v>
      </c>
      <c r="O358" s="41">
        <v>1</v>
      </c>
      <c r="P358" s="41">
        <v>1</v>
      </c>
      <c r="Q358" s="41">
        <v>102</v>
      </c>
      <c r="R358" s="33" t="s">
        <v>299</v>
      </c>
      <c r="S358" s="33" t="s">
        <v>418</v>
      </c>
      <c r="T358" s="42"/>
      <c r="U358" s="42"/>
      <c r="V358" s="38" t="s">
        <v>5</v>
      </c>
      <c r="W358" s="38" t="s">
        <v>8</v>
      </c>
      <c r="X358" s="38"/>
      <c r="Y358" s="43">
        <v>0.16</v>
      </c>
      <c r="Z358" s="44">
        <v>3.9324999999999999E-4</v>
      </c>
      <c r="AA358" s="39" t="e">
        <f t="shared" si="48"/>
        <v>#VALUE!</v>
      </c>
      <c r="AB358" s="39" t="e">
        <f t="shared" si="49"/>
        <v>#VALUE!</v>
      </c>
      <c r="AC358" s="43" t="e">
        <f t="shared" si="50"/>
        <v>#VALUE!</v>
      </c>
    </row>
    <row r="359" spans="1:29" ht="38.25" x14ac:dyDescent="0.25">
      <c r="A359" s="33" t="s">
        <v>435</v>
      </c>
      <c r="B359" s="34" t="s">
        <v>436</v>
      </c>
      <c r="C359" s="33" t="s">
        <v>435</v>
      </c>
      <c r="D359" s="35" t="s">
        <v>2</v>
      </c>
      <c r="E359" s="36" t="s">
        <v>2</v>
      </c>
      <c r="F359" s="37" t="s">
        <v>968</v>
      </c>
      <c r="G359" s="38" t="s">
        <v>3</v>
      </c>
      <c r="H359" s="39">
        <v>1728.9</v>
      </c>
      <c r="I359" s="39">
        <v>1440.75</v>
      </c>
      <c r="J359" s="39">
        <f t="shared" si="44"/>
        <v>1106.4960000000001</v>
      </c>
      <c r="K359" s="39">
        <f t="shared" si="45"/>
        <v>1296.6750000000002</v>
      </c>
      <c r="L359" s="40">
        <f t="shared" si="46"/>
        <v>-6448053.5730000008</v>
      </c>
      <c r="M359" s="40">
        <f t="shared" si="47"/>
        <v>-5373377.9775</v>
      </c>
      <c r="N359" s="39" t="s">
        <v>9</v>
      </c>
      <c r="O359" s="41">
        <v>1</v>
      </c>
      <c r="P359" s="41">
        <v>1</v>
      </c>
      <c r="Q359" s="41">
        <v>80</v>
      </c>
      <c r="R359" s="33" t="s">
        <v>299</v>
      </c>
      <c r="S359" s="33" t="s">
        <v>418</v>
      </c>
      <c r="T359" s="42"/>
      <c r="U359" s="42"/>
      <c r="V359" s="38" t="s">
        <v>5</v>
      </c>
      <c r="W359" s="38" t="s">
        <v>8</v>
      </c>
      <c r="X359" s="38"/>
      <c r="Y359" s="43">
        <v>0.16</v>
      </c>
      <c r="Z359" s="44">
        <v>5.1424999999999995E-4</v>
      </c>
      <c r="AA359" s="39" t="e">
        <f t="shared" si="48"/>
        <v>#VALUE!</v>
      </c>
      <c r="AB359" s="39" t="e">
        <f t="shared" si="49"/>
        <v>#VALUE!</v>
      </c>
      <c r="AC359" s="43" t="e">
        <f t="shared" si="50"/>
        <v>#VALUE!</v>
      </c>
    </row>
    <row r="360" spans="1:29" ht="38.25" x14ac:dyDescent="0.25">
      <c r="A360" s="33" t="s">
        <v>437</v>
      </c>
      <c r="B360" s="34" t="s">
        <v>438</v>
      </c>
      <c r="C360" s="33" t="s">
        <v>437</v>
      </c>
      <c r="D360" s="35" t="s">
        <v>2</v>
      </c>
      <c r="E360" s="36" t="s">
        <v>2</v>
      </c>
      <c r="F360" s="37" t="s">
        <v>968</v>
      </c>
      <c r="G360" s="38" t="s">
        <v>3</v>
      </c>
      <c r="H360" s="39">
        <v>1960.72</v>
      </c>
      <c r="I360" s="39">
        <v>1633.93</v>
      </c>
      <c r="J360" s="39">
        <f t="shared" si="44"/>
        <v>1254.8607999999999</v>
      </c>
      <c r="K360" s="39">
        <f t="shared" si="45"/>
        <v>1470.54</v>
      </c>
      <c r="L360" s="40">
        <f t="shared" si="46"/>
        <v>-7312642.4904000005</v>
      </c>
      <c r="M360" s="40">
        <f t="shared" si="47"/>
        <v>-6093856.3101000004</v>
      </c>
      <c r="N360" s="39" t="s">
        <v>4</v>
      </c>
      <c r="O360" s="41">
        <v>1</v>
      </c>
      <c r="P360" s="41">
        <v>1</v>
      </c>
      <c r="Q360" s="41">
        <v>66</v>
      </c>
      <c r="R360" s="33" t="s">
        <v>299</v>
      </c>
      <c r="S360" s="33" t="s">
        <v>418</v>
      </c>
      <c r="T360" s="42"/>
      <c r="U360" s="42"/>
      <c r="V360" s="38" t="s">
        <v>5</v>
      </c>
      <c r="W360" s="38" t="s">
        <v>8</v>
      </c>
      <c r="X360" s="38"/>
      <c r="Y360" s="43">
        <v>0.215</v>
      </c>
      <c r="Z360" s="44">
        <v>5.8239999999999995E-4</v>
      </c>
      <c r="AA360" s="39" t="e">
        <f t="shared" si="48"/>
        <v>#VALUE!</v>
      </c>
      <c r="AB360" s="39" t="e">
        <f t="shared" si="49"/>
        <v>#VALUE!</v>
      </c>
      <c r="AC360" s="43" t="e">
        <f t="shared" si="50"/>
        <v>#VALUE!</v>
      </c>
    </row>
    <row r="361" spans="1:29" ht="38.25" x14ac:dyDescent="0.25">
      <c r="A361" s="33" t="s">
        <v>439</v>
      </c>
      <c r="B361" s="34" t="s">
        <v>440</v>
      </c>
      <c r="C361" s="33" t="s">
        <v>439</v>
      </c>
      <c r="D361" s="35" t="s">
        <v>2</v>
      </c>
      <c r="E361" s="36" t="s">
        <v>2</v>
      </c>
      <c r="F361" s="37" t="s">
        <v>968</v>
      </c>
      <c r="G361" s="38" t="s">
        <v>3</v>
      </c>
      <c r="H361" s="39">
        <v>1939.35</v>
      </c>
      <c r="I361" s="39">
        <v>1616.13</v>
      </c>
      <c r="J361" s="39">
        <f t="shared" si="44"/>
        <v>1241.184</v>
      </c>
      <c r="K361" s="39">
        <f t="shared" si="45"/>
        <v>1454.5124999999998</v>
      </c>
      <c r="L361" s="40">
        <f t="shared" si="46"/>
        <v>-7232941.5795</v>
      </c>
      <c r="M361" s="40">
        <f t="shared" si="47"/>
        <v>-6027469.9641000004</v>
      </c>
      <c r="N361" s="39" t="s">
        <v>9</v>
      </c>
      <c r="O361" s="41">
        <v>1</v>
      </c>
      <c r="P361" s="41">
        <v>1</v>
      </c>
      <c r="Q361" s="41">
        <v>46</v>
      </c>
      <c r="R361" s="33" t="s">
        <v>299</v>
      </c>
      <c r="S361" s="33" t="s">
        <v>418</v>
      </c>
      <c r="T361" s="42"/>
      <c r="U361" s="42"/>
      <c r="V361" s="38" t="s">
        <v>5</v>
      </c>
      <c r="W361" s="38" t="s">
        <v>8</v>
      </c>
      <c r="X361" s="38"/>
      <c r="Y361" s="43">
        <v>0.26</v>
      </c>
      <c r="Z361" s="44">
        <v>8.1674999999999998E-4</v>
      </c>
      <c r="AA361" s="39" t="e">
        <f t="shared" si="48"/>
        <v>#VALUE!</v>
      </c>
      <c r="AB361" s="39" t="e">
        <f t="shared" si="49"/>
        <v>#VALUE!</v>
      </c>
      <c r="AC361" s="43" t="e">
        <f t="shared" si="50"/>
        <v>#VALUE!</v>
      </c>
    </row>
    <row r="362" spans="1:29" ht="38.25" x14ac:dyDescent="0.25">
      <c r="A362" s="33" t="s">
        <v>441</v>
      </c>
      <c r="B362" s="34" t="s">
        <v>442</v>
      </c>
      <c r="C362" s="33" t="s">
        <v>441</v>
      </c>
      <c r="D362" s="35" t="s">
        <v>2</v>
      </c>
      <c r="E362" s="36" t="s">
        <v>2</v>
      </c>
      <c r="F362" s="37" t="s">
        <v>968</v>
      </c>
      <c r="G362" s="38" t="s">
        <v>3</v>
      </c>
      <c r="H362" s="39">
        <v>2336.37</v>
      </c>
      <c r="I362" s="39">
        <v>1946.98</v>
      </c>
      <c r="J362" s="39">
        <f t="shared" si="44"/>
        <v>1495.2768000000001</v>
      </c>
      <c r="K362" s="39">
        <f t="shared" si="45"/>
        <v>1752.2774999999999</v>
      </c>
      <c r="L362" s="40">
        <f t="shared" si="46"/>
        <v>-8713655.4608999994</v>
      </c>
      <c r="M362" s="40">
        <f t="shared" si="47"/>
        <v>-7261398.1986000007</v>
      </c>
      <c r="N362" s="39" t="s">
        <v>4</v>
      </c>
      <c r="O362" s="41">
        <v>1</v>
      </c>
      <c r="P362" s="41">
        <v>1</v>
      </c>
      <c r="Q362" s="41">
        <v>36</v>
      </c>
      <c r="R362" s="33" t="s">
        <v>299</v>
      </c>
      <c r="S362" s="33" t="s">
        <v>418</v>
      </c>
      <c r="T362" s="42"/>
      <c r="U362" s="42"/>
      <c r="V362" s="38" t="s">
        <v>5</v>
      </c>
      <c r="W362" s="38" t="s">
        <v>8</v>
      </c>
      <c r="X362" s="38"/>
      <c r="Y362" s="43">
        <v>0.28499999999999998</v>
      </c>
      <c r="Z362" s="44">
        <v>9.9007999999999995E-4</v>
      </c>
      <c r="AA362" s="39" t="e">
        <f t="shared" si="48"/>
        <v>#VALUE!</v>
      </c>
      <c r="AB362" s="39" t="e">
        <f t="shared" si="49"/>
        <v>#VALUE!</v>
      </c>
      <c r="AC362" s="43" t="e">
        <f t="shared" si="50"/>
        <v>#VALUE!</v>
      </c>
    </row>
    <row r="363" spans="1:29" ht="38.25" x14ac:dyDescent="0.25">
      <c r="A363" s="33" t="s">
        <v>443</v>
      </c>
      <c r="B363" s="34" t="s">
        <v>444</v>
      </c>
      <c r="C363" s="33" t="s">
        <v>443</v>
      </c>
      <c r="D363" s="35" t="s">
        <v>2</v>
      </c>
      <c r="E363" s="36" t="s">
        <v>2</v>
      </c>
      <c r="F363" s="37" t="s">
        <v>968</v>
      </c>
      <c r="G363" s="38" t="s">
        <v>3</v>
      </c>
      <c r="H363" s="39">
        <v>2891.24</v>
      </c>
      <c r="I363" s="39">
        <v>2409.37</v>
      </c>
      <c r="J363" s="39">
        <f t="shared" si="44"/>
        <v>1850.3935999999999</v>
      </c>
      <c r="K363" s="39">
        <f t="shared" si="45"/>
        <v>2168.4299999999998</v>
      </c>
      <c r="L363" s="40">
        <f t="shared" si="46"/>
        <v>-10783081.966800001</v>
      </c>
      <c r="M363" s="40">
        <f t="shared" si="47"/>
        <v>-8985914.0709000006</v>
      </c>
      <c r="N363" s="39" t="s">
        <v>4</v>
      </c>
      <c r="O363" s="41">
        <v>1</v>
      </c>
      <c r="P363" s="41">
        <v>1</v>
      </c>
      <c r="Q363" s="41">
        <v>48</v>
      </c>
      <c r="R363" s="33" t="s">
        <v>299</v>
      </c>
      <c r="S363" s="33" t="s">
        <v>418</v>
      </c>
      <c r="T363" s="42"/>
      <c r="U363" s="42"/>
      <c r="V363" s="38" t="s">
        <v>5</v>
      </c>
      <c r="W363" s="38" t="s">
        <v>8</v>
      </c>
      <c r="X363" s="38"/>
      <c r="Y363" s="43">
        <v>0.154</v>
      </c>
      <c r="Z363" s="44">
        <v>8.2799999999999996E-4</v>
      </c>
      <c r="AA363" s="39" t="e">
        <f t="shared" si="48"/>
        <v>#VALUE!</v>
      </c>
      <c r="AB363" s="39" t="e">
        <f t="shared" si="49"/>
        <v>#VALUE!</v>
      </c>
      <c r="AC363" s="43" t="e">
        <f t="shared" si="50"/>
        <v>#VALUE!</v>
      </c>
    </row>
    <row r="364" spans="1:29" x14ac:dyDescent="0.25">
      <c r="A364" s="58"/>
      <c r="B364" s="58"/>
      <c r="C364" s="58"/>
      <c r="D364" s="58"/>
      <c r="E364" s="58"/>
      <c r="F364" s="58"/>
      <c r="G364" s="58"/>
      <c r="H364" s="58"/>
      <c r="I364" s="58"/>
      <c r="J364" s="58"/>
      <c r="K364" s="58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8"/>
      <c r="W364" s="58"/>
      <c r="X364" s="58"/>
      <c r="Y364" s="58"/>
      <c r="Z364" s="58"/>
      <c r="AA364" s="58"/>
      <c r="AB364" s="58"/>
      <c r="AC364" s="58"/>
    </row>
    <row r="365" spans="1:29" ht="38.25" x14ac:dyDescent="0.25">
      <c r="A365" s="33" t="s">
        <v>449</v>
      </c>
      <c r="B365" s="34" t="s">
        <v>450</v>
      </c>
      <c r="C365" s="33" t="s">
        <v>449</v>
      </c>
      <c r="D365" s="35" t="s">
        <v>2</v>
      </c>
      <c r="E365" s="36" t="s">
        <v>2</v>
      </c>
      <c r="F365" s="37" t="s">
        <v>968</v>
      </c>
      <c r="G365" s="38" t="s">
        <v>3</v>
      </c>
      <c r="H365" s="39">
        <v>55.8</v>
      </c>
      <c r="I365" s="39">
        <v>46.5</v>
      </c>
      <c r="J365" s="39">
        <f>H365-(36 *H365/100)</f>
        <v>35.711999999999996</v>
      </c>
      <c r="K365" s="39">
        <f>H365-(25 *H365/100)</f>
        <v>41.849999999999994</v>
      </c>
      <c r="L365" s="40">
        <f>IF(H365="","",H365*(1-$H$356))</f>
        <v>-208110.00599999999</v>
      </c>
      <c r="M365" s="40">
        <f>IF(I365="","",I365*(1-$H$356))</f>
        <v>-173425.005</v>
      </c>
      <c r="N365" s="39" t="s">
        <v>4</v>
      </c>
      <c r="O365" s="41">
        <v>10</v>
      </c>
      <c r="P365" s="41">
        <v>10</v>
      </c>
      <c r="Q365" s="41">
        <v>350</v>
      </c>
      <c r="R365" s="33" t="s">
        <v>299</v>
      </c>
      <c r="S365" s="33" t="s">
        <v>418</v>
      </c>
      <c r="T365" s="42"/>
      <c r="U365" s="42"/>
      <c r="V365" s="38" t="s">
        <v>5</v>
      </c>
      <c r="W365" s="38" t="s">
        <v>8</v>
      </c>
      <c r="X365" s="38"/>
      <c r="Y365" s="43">
        <v>0.01</v>
      </c>
      <c r="Z365" s="44">
        <v>3.8059999999999998E-5</v>
      </c>
      <c r="AA365" s="39" t="e">
        <f>IF(OR(F365="",L365=""),"",F365*L365)</f>
        <v>#VALUE!</v>
      </c>
      <c r="AB365" s="39" t="e">
        <f>IF(OR(F365="",Y365=""),"",Y365*F365)</f>
        <v>#VALUE!</v>
      </c>
      <c r="AC365" s="43" t="e">
        <f>IF(OR(F365="",Z365=""),"",F365*Z365)</f>
        <v>#VALUE!</v>
      </c>
    </row>
    <row r="366" spans="1:29" ht="38.25" x14ac:dyDescent="0.25">
      <c r="A366" s="33" t="s">
        <v>451</v>
      </c>
      <c r="B366" s="34" t="s">
        <v>452</v>
      </c>
      <c r="C366" s="33" t="s">
        <v>451</v>
      </c>
      <c r="D366" s="35" t="s">
        <v>2</v>
      </c>
      <c r="E366" s="36" t="s">
        <v>2</v>
      </c>
      <c r="F366" s="37" t="s">
        <v>968</v>
      </c>
      <c r="G366" s="38" t="s">
        <v>3</v>
      </c>
      <c r="H366" s="39">
        <v>103.72</v>
      </c>
      <c r="I366" s="39">
        <v>86.43</v>
      </c>
      <c r="J366" s="39">
        <f>H366-(36 *H366/100)</f>
        <v>66.380799999999994</v>
      </c>
      <c r="K366" s="39">
        <f>H366-(25 *H366/100)</f>
        <v>77.789999999999992</v>
      </c>
      <c r="L366" s="40">
        <f>IF(H366="","",H366*(1-$H$356))</f>
        <v>-386831.00040000002</v>
      </c>
      <c r="M366" s="40">
        <f>IF(I366="","",I366*(1-$H$356))</f>
        <v>-322346.73510000005</v>
      </c>
      <c r="N366" s="39" t="s">
        <v>4</v>
      </c>
      <c r="O366" s="41">
        <v>350</v>
      </c>
      <c r="P366" s="41">
        <v>10</v>
      </c>
      <c r="Q366" s="41">
        <v>350</v>
      </c>
      <c r="R366" s="33" t="s">
        <v>299</v>
      </c>
      <c r="S366" s="33" t="s">
        <v>418</v>
      </c>
      <c r="T366" s="42"/>
      <c r="U366" s="42"/>
      <c r="V366" s="38" t="s">
        <v>7</v>
      </c>
      <c r="W366" s="38" t="s">
        <v>8</v>
      </c>
      <c r="X366" s="38"/>
      <c r="Y366" s="43">
        <v>4.9119999999999999</v>
      </c>
      <c r="Z366" s="44">
        <v>2.1838E-2</v>
      </c>
      <c r="AA366" s="39" t="e">
        <f>IF(OR(F366="",L366=""),"",F366*L366)</f>
        <v>#VALUE!</v>
      </c>
      <c r="AB366" s="39" t="e">
        <f>IF(OR(F366="",Y366=""),"",Y366*F366)</f>
        <v>#VALUE!</v>
      </c>
      <c r="AC366" s="43" t="e">
        <f>IF(OR(F366="",Z366=""),"",F366*Z366)</f>
        <v>#VALUE!</v>
      </c>
    </row>
    <row r="367" spans="1:29" s="97" customFormat="1" x14ac:dyDescent="0.25">
      <c r="A367" s="444" t="s">
        <v>906</v>
      </c>
      <c r="B367" s="444"/>
      <c r="C367" s="444"/>
      <c r="D367" s="444"/>
      <c r="E367" s="444"/>
      <c r="F367" s="444"/>
      <c r="G367" s="444"/>
      <c r="H367" s="444"/>
      <c r="I367" s="444"/>
      <c r="J367" s="444"/>
      <c r="K367" s="444"/>
      <c r="L367" s="444"/>
      <c r="M367" s="444"/>
      <c r="N367" s="444"/>
      <c r="O367" s="444"/>
      <c r="P367" s="444"/>
      <c r="Q367" s="444"/>
      <c r="R367" s="444"/>
      <c r="S367" s="444"/>
      <c r="T367" s="444"/>
      <c r="U367" s="444"/>
      <c r="V367" s="444"/>
      <c r="W367" s="444"/>
      <c r="X367" s="444"/>
      <c r="Y367" s="444"/>
      <c r="Z367" s="444"/>
      <c r="AA367" s="444"/>
      <c r="AB367" s="444"/>
      <c r="AC367" s="444"/>
    </row>
    <row r="368" spans="1:29" s="98" customFormat="1" ht="24.75" customHeight="1" x14ac:dyDescent="0.25">
      <c r="A368" s="46" t="s">
        <v>445</v>
      </c>
      <c r="B368" s="47" t="s">
        <v>446</v>
      </c>
      <c r="C368" s="46" t="s">
        <v>445</v>
      </c>
      <c r="D368" s="48" t="s">
        <v>2</v>
      </c>
      <c r="E368" s="49" t="s">
        <v>2</v>
      </c>
      <c r="F368" s="50" t="s">
        <v>968</v>
      </c>
      <c r="G368" s="51" t="s">
        <v>3</v>
      </c>
      <c r="H368" s="52">
        <v>88.35</v>
      </c>
      <c r="I368" s="52">
        <v>73.63</v>
      </c>
      <c r="J368" s="52">
        <v>56.543999999999997</v>
      </c>
      <c r="K368" s="52">
        <v>66.262499999999989</v>
      </c>
      <c r="L368" s="53">
        <v>88.35</v>
      </c>
      <c r="M368" s="53">
        <v>73.63</v>
      </c>
      <c r="N368" s="52" t="s">
        <v>4</v>
      </c>
      <c r="O368" s="54">
        <v>100</v>
      </c>
      <c r="P368" s="54">
        <v>1</v>
      </c>
      <c r="Q368" s="54">
        <v>100</v>
      </c>
      <c r="R368" s="46" t="s">
        <v>299</v>
      </c>
      <c r="S368" s="46" t="s">
        <v>418</v>
      </c>
      <c r="T368" s="55"/>
      <c r="U368" s="55"/>
      <c r="V368" s="51" t="s">
        <v>7</v>
      </c>
      <c r="W368" s="51" t="s">
        <v>8</v>
      </c>
      <c r="X368" s="51"/>
      <c r="Y368" s="56">
        <v>0.01</v>
      </c>
      <c r="Z368" s="57">
        <v>7.9999999999999996E-7</v>
      </c>
      <c r="AA368" s="52" t="s">
        <v>722</v>
      </c>
      <c r="AB368" s="52" t="s">
        <v>722</v>
      </c>
      <c r="AC368" s="56" t="s">
        <v>722</v>
      </c>
    </row>
    <row r="369" spans="1:29" s="98" customFormat="1" ht="24.75" customHeight="1" x14ac:dyDescent="0.25">
      <c r="A369" s="46" t="s">
        <v>447</v>
      </c>
      <c r="B369" s="47" t="s">
        <v>448</v>
      </c>
      <c r="C369" s="46" t="s">
        <v>447</v>
      </c>
      <c r="D369" s="48" t="s">
        <v>2</v>
      </c>
      <c r="E369" s="49" t="s">
        <v>2</v>
      </c>
      <c r="F369" s="50" t="s">
        <v>968</v>
      </c>
      <c r="G369" s="51" t="s">
        <v>3</v>
      </c>
      <c r="H369" s="52">
        <v>112.52</v>
      </c>
      <c r="I369" s="52">
        <v>93.77</v>
      </c>
      <c r="J369" s="52">
        <v>72.012799999999999</v>
      </c>
      <c r="K369" s="52">
        <v>84.39</v>
      </c>
      <c r="L369" s="53">
        <v>112.52</v>
      </c>
      <c r="M369" s="53">
        <v>93.77</v>
      </c>
      <c r="N369" s="52" t="s">
        <v>4</v>
      </c>
      <c r="O369" s="54">
        <v>100</v>
      </c>
      <c r="P369" s="54">
        <v>1</v>
      </c>
      <c r="Q369" s="54">
        <v>100</v>
      </c>
      <c r="R369" s="46" t="s">
        <v>299</v>
      </c>
      <c r="S369" s="46" t="s">
        <v>418</v>
      </c>
      <c r="T369" s="55"/>
      <c r="U369" s="55"/>
      <c r="V369" s="51" t="s">
        <v>5</v>
      </c>
      <c r="W369" s="51" t="s">
        <v>8</v>
      </c>
      <c r="X369" s="51"/>
      <c r="Y369" s="56">
        <v>0.01</v>
      </c>
      <c r="Z369" s="57">
        <v>7.9999999999999996E-7</v>
      </c>
      <c r="AA369" s="52" t="s">
        <v>722</v>
      </c>
      <c r="AB369" s="52" t="s">
        <v>722</v>
      </c>
      <c r="AC369" s="56" t="s">
        <v>722</v>
      </c>
    </row>
    <row r="370" spans="1:29" x14ac:dyDescent="0.25">
      <c r="A370" s="445" t="s">
        <v>907</v>
      </c>
      <c r="B370" s="445"/>
      <c r="C370" s="445"/>
      <c r="D370" s="445"/>
      <c r="E370" s="445"/>
      <c r="F370" s="445"/>
      <c r="G370" s="445"/>
      <c r="H370" s="445"/>
      <c r="I370" s="445"/>
      <c r="J370" s="445"/>
      <c r="K370" s="445"/>
      <c r="L370" s="445"/>
      <c r="M370" s="445"/>
      <c r="N370" s="445"/>
      <c r="O370" s="445"/>
      <c r="P370" s="445"/>
      <c r="Q370" s="445"/>
      <c r="R370" s="445"/>
      <c r="S370" s="445"/>
      <c r="T370" s="445"/>
      <c r="U370" s="445"/>
      <c r="V370" s="445"/>
      <c r="W370" s="445"/>
      <c r="X370" s="445"/>
      <c r="Y370" s="445"/>
      <c r="Z370" s="445"/>
      <c r="AA370" s="445"/>
      <c r="AB370" s="445"/>
      <c r="AC370" s="445"/>
    </row>
    <row r="371" spans="1:29" s="1" customFormat="1" ht="24.75" customHeight="1" x14ac:dyDescent="0.25">
      <c r="A371" s="71" t="s">
        <v>453</v>
      </c>
      <c r="B371" s="72" t="s">
        <v>454</v>
      </c>
      <c r="C371" s="71" t="s">
        <v>453</v>
      </c>
      <c r="D371" s="73" t="s">
        <v>2</v>
      </c>
      <c r="E371" s="74" t="s">
        <v>2</v>
      </c>
      <c r="F371" s="75" t="s">
        <v>967</v>
      </c>
      <c r="G371" s="76" t="s">
        <v>11</v>
      </c>
      <c r="H371" s="77">
        <v>434.47</v>
      </c>
      <c r="I371" s="77">
        <v>362.06</v>
      </c>
      <c r="J371" s="77">
        <f t="shared" ref="J371:J377" si="51">H371-(36 *H371/100)</f>
        <v>278.06079999999997</v>
      </c>
      <c r="K371" s="77">
        <f t="shared" ref="K371:K377" si="52">H371-(25 *H371/100)</f>
        <v>325.85250000000002</v>
      </c>
      <c r="L371" s="78">
        <f t="shared" ref="L371:M377" si="53">IF(H371="","",H371*(1-$H$4))</f>
        <v>-21506321.4811</v>
      </c>
      <c r="M371" s="78">
        <f t="shared" si="53"/>
        <v>-17922017.0678</v>
      </c>
      <c r="N371" s="77" t="s">
        <v>4</v>
      </c>
      <c r="O371" s="79">
        <v>1</v>
      </c>
      <c r="P371" s="79">
        <v>1</v>
      </c>
      <c r="Q371" s="79">
        <v>30</v>
      </c>
      <c r="R371" s="71" t="s">
        <v>299</v>
      </c>
      <c r="S371" s="71" t="s">
        <v>455</v>
      </c>
      <c r="T371" s="80"/>
      <c r="U371" s="80"/>
      <c r="V371" s="76" t="s">
        <v>5</v>
      </c>
      <c r="W371" s="76" t="s">
        <v>8</v>
      </c>
      <c r="X371" s="76"/>
      <c r="Y371" s="81">
        <v>0.26</v>
      </c>
      <c r="Z371" s="82">
        <v>1.0399999999999999E-3</v>
      </c>
      <c r="AA371" s="77" t="e">
        <f t="shared" ref="AA371:AA377" si="54">IF(OR(F371="",L371=""),"",F371*L371)</f>
        <v>#VALUE!</v>
      </c>
      <c r="AB371" s="77" t="e">
        <f t="shared" ref="AB371:AB377" si="55">IF(OR(F371="",Y371=""),"",Y371*F371)</f>
        <v>#VALUE!</v>
      </c>
      <c r="AC371" s="81" t="e">
        <f t="shared" ref="AC371:AC377" si="56">IF(OR(F371="",Z371=""),"",F371*Z371)</f>
        <v>#VALUE!</v>
      </c>
    </row>
    <row r="372" spans="1:29" s="1" customFormat="1" ht="24.75" customHeight="1" x14ac:dyDescent="0.25">
      <c r="A372" s="71" t="s">
        <v>456</v>
      </c>
      <c r="B372" s="72" t="s">
        <v>457</v>
      </c>
      <c r="C372" s="71" t="s">
        <v>456</v>
      </c>
      <c r="D372" s="73" t="s">
        <v>2</v>
      </c>
      <c r="E372" s="74" t="s">
        <v>2</v>
      </c>
      <c r="F372" s="75" t="s">
        <v>967</v>
      </c>
      <c r="G372" s="76" t="s">
        <v>11</v>
      </c>
      <c r="H372" s="77">
        <v>387.97</v>
      </c>
      <c r="I372" s="77">
        <v>323.31</v>
      </c>
      <c r="J372" s="77">
        <f t="shared" si="51"/>
        <v>248.30080000000001</v>
      </c>
      <c r="K372" s="77">
        <f t="shared" si="52"/>
        <v>290.97750000000002</v>
      </c>
      <c r="L372" s="78">
        <f t="shared" si="53"/>
        <v>-19204565.436099999</v>
      </c>
      <c r="M372" s="78">
        <f t="shared" si="53"/>
        <v>-16003887.030299999</v>
      </c>
      <c r="N372" s="77" t="s">
        <v>4</v>
      </c>
      <c r="O372" s="79">
        <v>1</v>
      </c>
      <c r="P372" s="79">
        <v>1</v>
      </c>
      <c r="Q372" s="79">
        <v>30</v>
      </c>
      <c r="R372" s="71" t="s">
        <v>299</v>
      </c>
      <c r="S372" s="71" t="s">
        <v>455</v>
      </c>
      <c r="T372" s="80"/>
      <c r="U372" s="80"/>
      <c r="V372" s="76" t="s">
        <v>5</v>
      </c>
      <c r="W372" s="76" t="s">
        <v>8</v>
      </c>
      <c r="X372" s="76"/>
      <c r="Y372" s="81">
        <v>0.20100000000000001</v>
      </c>
      <c r="Z372" s="82">
        <v>1.534E-3</v>
      </c>
      <c r="AA372" s="77" t="e">
        <f t="shared" si="54"/>
        <v>#VALUE!</v>
      </c>
      <c r="AB372" s="77" t="e">
        <f t="shared" si="55"/>
        <v>#VALUE!</v>
      </c>
      <c r="AC372" s="81" t="e">
        <f t="shared" si="56"/>
        <v>#VALUE!</v>
      </c>
    </row>
    <row r="373" spans="1:29" s="1" customFormat="1" ht="24.75" customHeight="1" x14ac:dyDescent="0.25">
      <c r="A373" s="71" t="s">
        <v>458</v>
      </c>
      <c r="B373" s="72" t="s">
        <v>459</v>
      </c>
      <c r="C373" s="71" t="s">
        <v>458</v>
      </c>
      <c r="D373" s="73" t="s">
        <v>2</v>
      </c>
      <c r="E373" s="74" t="s">
        <v>2</v>
      </c>
      <c r="F373" s="75" t="s">
        <v>967</v>
      </c>
      <c r="G373" s="76" t="s">
        <v>11</v>
      </c>
      <c r="H373" s="77">
        <v>392.43</v>
      </c>
      <c r="I373" s="77">
        <v>327.02999999999997</v>
      </c>
      <c r="J373" s="77">
        <f t="shared" si="51"/>
        <v>251.15520000000001</v>
      </c>
      <c r="K373" s="77">
        <f t="shared" si="52"/>
        <v>294.32249999999999</v>
      </c>
      <c r="L373" s="78">
        <f t="shared" si="53"/>
        <v>-19425336.015900001</v>
      </c>
      <c r="M373" s="78">
        <f t="shared" si="53"/>
        <v>-16188027.513899997</v>
      </c>
      <c r="N373" s="77" t="s">
        <v>4</v>
      </c>
      <c r="O373" s="79">
        <v>1</v>
      </c>
      <c r="P373" s="79">
        <v>1</v>
      </c>
      <c r="Q373" s="79">
        <v>30</v>
      </c>
      <c r="R373" s="71" t="s">
        <v>299</v>
      </c>
      <c r="S373" s="71" t="s">
        <v>455</v>
      </c>
      <c r="T373" s="80"/>
      <c r="U373" s="80"/>
      <c r="V373" s="76" t="s">
        <v>5</v>
      </c>
      <c r="W373" s="76" t="s">
        <v>8</v>
      </c>
      <c r="X373" s="76"/>
      <c r="Y373" s="81">
        <v>0.17399999999999999</v>
      </c>
      <c r="Z373" s="82">
        <v>7.54E-4</v>
      </c>
      <c r="AA373" s="77" t="e">
        <f t="shared" si="54"/>
        <v>#VALUE!</v>
      </c>
      <c r="AB373" s="77" t="e">
        <f t="shared" si="55"/>
        <v>#VALUE!</v>
      </c>
      <c r="AC373" s="81" t="e">
        <f t="shared" si="56"/>
        <v>#VALUE!</v>
      </c>
    </row>
    <row r="374" spans="1:29" s="1" customFormat="1" ht="24.75" customHeight="1" x14ac:dyDescent="0.25">
      <c r="A374" s="71" t="s">
        <v>460</v>
      </c>
      <c r="B374" s="72" t="s">
        <v>461</v>
      </c>
      <c r="C374" s="71" t="s">
        <v>460</v>
      </c>
      <c r="D374" s="73" t="s">
        <v>2</v>
      </c>
      <c r="E374" s="74" t="s">
        <v>2</v>
      </c>
      <c r="F374" s="75" t="s">
        <v>967</v>
      </c>
      <c r="G374" s="76" t="s">
        <v>11</v>
      </c>
      <c r="H374" s="77">
        <v>546.59</v>
      </c>
      <c r="I374" s="77">
        <v>455.49</v>
      </c>
      <c r="J374" s="77">
        <f t="shared" si="51"/>
        <v>349.81760000000003</v>
      </c>
      <c r="K374" s="77">
        <f t="shared" si="52"/>
        <v>409.9425</v>
      </c>
      <c r="L374" s="78">
        <f t="shared" si="53"/>
        <v>-27056276.056699999</v>
      </c>
      <c r="M374" s="78">
        <f t="shared" si="53"/>
        <v>-22546814.2137</v>
      </c>
      <c r="N374" s="77" t="s">
        <v>4</v>
      </c>
      <c r="O374" s="79">
        <v>1</v>
      </c>
      <c r="P374" s="79">
        <v>1</v>
      </c>
      <c r="Q374" s="79">
        <v>40</v>
      </c>
      <c r="R374" s="71" t="s">
        <v>299</v>
      </c>
      <c r="S374" s="71" t="s">
        <v>455</v>
      </c>
      <c r="T374" s="80"/>
      <c r="U374" s="80"/>
      <c r="V374" s="76" t="s">
        <v>5</v>
      </c>
      <c r="W374" s="76" t="s">
        <v>8</v>
      </c>
      <c r="X374" s="76"/>
      <c r="Y374" s="81">
        <v>0.13800000000000001</v>
      </c>
      <c r="Z374" s="82">
        <v>7.8899999999999999E-4</v>
      </c>
      <c r="AA374" s="77" t="e">
        <f t="shared" si="54"/>
        <v>#VALUE!</v>
      </c>
      <c r="AB374" s="77" t="e">
        <f t="shared" si="55"/>
        <v>#VALUE!</v>
      </c>
      <c r="AC374" s="81" t="e">
        <f t="shared" si="56"/>
        <v>#VALUE!</v>
      </c>
    </row>
    <row r="375" spans="1:29" s="1" customFormat="1" ht="24.75" customHeight="1" x14ac:dyDescent="0.25">
      <c r="A375" s="71" t="s">
        <v>462</v>
      </c>
      <c r="B375" s="72" t="s">
        <v>463</v>
      </c>
      <c r="C375" s="71" t="s">
        <v>462</v>
      </c>
      <c r="D375" s="73" t="s">
        <v>2</v>
      </c>
      <c r="E375" s="74" t="s">
        <v>2</v>
      </c>
      <c r="F375" s="75" t="s">
        <v>967</v>
      </c>
      <c r="G375" s="76" t="s">
        <v>11</v>
      </c>
      <c r="H375" s="77">
        <v>653.97</v>
      </c>
      <c r="I375" s="77">
        <v>544.98</v>
      </c>
      <c r="J375" s="77">
        <f t="shared" si="51"/>
        <v>418.54079999999999</v>
      </c>
      <c r="K375" s="77">
        <f t="shared" si="52"/>
        <v>490.47750000000002</v>
      </c>
      <c r="L375" s="78">
        <f t="shared" si="53"/>
        <v>-32371600.016100001</v>
      </c>
      <c r="M375" s="78">
        <f t="shared" si="53"/>
        <v>-26976580.847399998</v>
      </c>
      <c r="N375" s="77" t="s">
        <v>4</v>
      </c>
      <c r="O375" s="79">
        <v>1</v>
      </c>
      <c r="P375" s="79">
        <v>1</v>
      </c>
      <c r="Q375" s="79">
        <v>30</v>
      </c>
      <c r="R375" s="71" t="s">
        <v>299</v>
      </c>
      <c r="S375" s="71" t="s">
        <v>455</v>
      </c>
      <c r="T375" s="80"/>
      <c r="U375" s="80"/>
      <c r="V375" s="76" t="s">
        <v>5</v>
      </c>
      <c r="W375" s="76" t="s">
        <v>8</v>
      </c>
      <c r="X375" s="76"/>
      <c r="Y375" s="81">
        <v>0.433</v>
      </c>
      <c r="Z375" s="82">
        <v>6.9200000000000002E-4</v>
      </c>
      <c r="AA375" s="77" t="e">
        <f t="shared" si="54"/>
        <v>#VALUE!</v>
      </c>
      <c r="AB375" s="77" t="e">
        <f t="shared" si="55"/>
        <v>#VALUE!</v>
      </c>
      <c r="AC375" s="81" t="e">
        <f t="shared" si="56"/>
        <v>#VALUE!</v>
      </c>
    </row>
    <row r="376" spans="1:29" s="1" customFormat="1" ht="24.75" customHeight="1" x14ac:dyDescent="0.25">
      <c r="A376" s="71" t="s">
        <v>464</v>
      </c>
      <c r="B376" s="72" t="s">
        <v>465</v>
      </c>
      <c r="C376" s="71" t="s">
        <v>464</v>
      </c>
      <c r="D376" s="73" t="s">
        <v>2</v>
      </c>
      <c r="E376" s="74" t="s">
        <v>2</v>
      </c>
      <c r="F376" s="75" t="s">
        <v>967</v>
      </c>
      <c r="G376" s="76" t="s">
        <v>11</v>
      </c>
      <c r="H376" s="77">
        <v>594.52</v>
      </c>
      <c r="I376" s="77">
        <v>495.43</v>
      </c>
      <c r="J376" s="77">
        <f t="shared" si="51"/>
        <v>380.49279999999999</v>
      </c>
      <c r="K376" s="77">
        <f t="shared" si="52"/>
        <v>445.89</v>
      </c>
      <c r="L376" s="78">
        <f t="shared" si="53"/>
        <v>-29428817.287599996</v>
      </c>
      <c r="M376" s="78">
        <f t="shared" si="53"/>
        <v>-24523849.405899998</v>
      </c>
      <c r="N376" s="77" t="s">
        <v>4</v>
      </c>
      <c r="O376" s="79">
        <v>1</v>
      </c>
      <c r="P376" s="79">
        <v>1</v>
      </c>
      <c r="Q376" s="79">
        <v>30</v>
      </c>
      <c r="R376" s="71" t="s">
        <v>299</v>
      </c>
      <c r="S376" s="71" t="s">
        <v>455</v>
      </c>
      <c r="T376" s="80"/>
      <c r="U376" s="80"/>
      <c r="V376" s="76" t="s">
        <v>5</v>
      </c>
      <c r="W376" s="76" t="s">
        <v>8</v>
      </c>
      <c r="X376" s="76"/>
      <c r="Y376" s="81">
        <v>0.27</v>
      </c>
      <c r="Z376" s="82">
        <v>3.6600000000000001E-4</v>
      </c>
      <c r="AA376" s="77" t="e">
        <f t="shared" si="54"/>
        <v>#VALUE!</v>
      </c>
      <c r="AB376" s="77" t="e">
        <f t="shared" si="55"/>
        <v>#VALUE!</v>
      </c>
      <c r="AC376" s="81" t="e">
        <f t="shared" si="56"/>
        <v>#VALUE!</v>
      </c>
    </row>
    <row r="377" spans="1:29" s="1" customFormat="1" ht="24.75" customHeight="1" x14ac:dyDescent="0.25">
      <c r="A377" s="71" t="s">
        <v>466</v>
      </c>
      <c r="B377" s="72" t="s">
        <v>467</v>
      </c>
      <c r="C377" s="71" t="s">
        <v>466</v>
      </c>
      <c r="D377" s="73" t="s">
        <v>2</v>
      </c>
      <c r="E377" s="74" t="s">
        <v>2</v>
      </c>
      <c r="F377" s="75" t="s">
        <v>967</v>
      </c>
      <c r="G377" s="76" t="s">
        <v>11</v>
      </c>
      <c r="H377" s="77">
        <v>624.25</v>
      </c>
      <c r="I377" s="77">
        <v>520.21</v>
      </c>
      <c r="J377" s="77">
        <f t="shared" si="51"/>
        <v>399.52</v>
      </c>
      <c r="K377" s="77">
        <f t="shared" si="52"/>
        <v>468.1875</v>
      </c>
      <c r="L377" s="78">
        <f t="shared" si="53"/>
        <v>-30900456.1525</v>
      </c>
      <c r="M377" s="78">
        <f t="shared" si="53"/>
        <v>-25750462.627300002</v>
      </c>
      <c r="N377" s="77" t="s">
        <v>4</v>
      </c>
      <c r="O377" s="79">
        <v>1</v>
      </c>
      <c r="P377" s="79">
        <v>1</v>
      </c>
      <c r="Q377" s="79">
        <v>30</v>
      </c>
      <c r="R377" s="71" t="s">
        <v>299</v>
      </c>
      <c r="S377" s="71" t="s">
        <v>455</v>
      </c>
      <c r="T377" s="80"/>
      <c r="U377" s="80"/>
      <c r="V377" s="76" t="s">
        <v>5</v>
      </c>
      <c r="W377" s="76" t="s">
        <v>8</v>
      </c>
      <c r="X377" s="76"/>
      <c r="Y377" s="81">
        <v>0.27900000000000003</v>
      </c>
      <c r="Z377" s="82">
        <v>4.1800000000000002E-4</v>
      </c>
      <c r="AA377" s="77" t="e">
        <f t="shared" si="54"/>
        <v>#VALUE!</v>
      </c>
      <c r="AB377" s="77" t="e">
        <f t="shared" si="55"/>
        <v>#VALUE!</v>
      </c>
      <c r="AC377" s="81" t="e">
        <f t="shared" si="56"/>
        <v>#VALUE!</v>
      </c>
    </row>
  </sheetData>
  <sheetProtection algorithmName="SHA-512" hashValue="rv8dvpJjcw7kubSsxzFk1hic3vzjvKBski14VmwSl0e6BoLrYo1vj7aDY9a5Zdem7dtVYJihWqq54DzPU8OiHg==" saltValue="jQpzVL1PSKChZ5ofNaYOOg==" spinCount="100000" sheet="1" objects="1" scenarios="1"/>
  <mergeCells count="14">
    <mergeCell ref="A239:AC239"/>
    <mergeCell ref="A2:AC2"/>
    <mergeCell ref="A159:AC159"/>
    <mergeCell ref="A176:AC176"/>
    <mergeCell ref="A187:AC187"/>
    <mergeCell ref="A200:AC200"/>
    <mergeCell ref="A367:AC367"/>
    <mergeCell ref="A370:AC370"/>
    <mergeCell ref="A246:AC246"/>
    <mergeCell ref="A255:AC255"/>
    <mergeCell ref="A269:AC269"/>
    <mergeCell ref="A306:AC306"/>
    <mergeCell ref="A342:AC342"/>
    <mergeCell ref="A352:AC352"/>
  </mergeCells>
  <phoneticPr fontId="7" type="noConversion"/>
  <hyperlinks>
    <hyperlink ref="D3" r:id="rId1" xr:uid="{71112831-2526-458F-B33B-0829B3391351}"/>
    <hyperlink ref="D4" r:id="rId2" xr:uid="{83574D4B-07BE-46BC-B746-7F73DF52BBE8}"/>
    <hyperlink ref="D5" r:id="rId3" xr:uid="{343DA9A0-DD02-4C65-92A9-6DF61085E3FE}"/>
    <hyperlink ref="D6" r:id="rId4" xr:uid="{9BFCB5F8-A72B-458D-80AE-2CFFC86DBDA2}"/>
    <hyperlink ref="D7" r:id="rId5" xr:uid="{003266FA-9D1A-4C76-906B-18E1D6EF9048}"/>
    <hyperlink ref="D8" r:id="rId6" xr:uid="{F2047C63-DB68-40CD-AD25-68379BFCBCA1}"/>
    <hyperlink ref="D9" r:id="rId7" xr:uid="{2EDC23E9-9656-48DC-AC10-B08DBB709583}"/>
    <hyperlink ref="D10" r:id="rId8" xr:uid="{B402F1E0-E560-4441-AC5A-55F691CD064E}"/>
    <hyperlink ref="D11" r:id="rId9" xr:uid="{E525CE64-0137-4311-9BAD-D4043BFEE1F4}"/>
    <hyperlink ref="D12" r:id="rId10" xr:uid="{3C5321F7-58E3-47B0-9C82-5DCF1A20C8F3}"/>
    <hyperlink ref="D13" r:id="rId11" xr:uid="{F92497BD-5BA8-4EE2-B39D-6E25B18ED3D4}"/>
    <hyperlink ref="D14" r:id="rId12" xr:uid="{664C6614-A5C5-4EB6-A5CE-0709B91D2C48}"/>
    <hyperlink ref="D15" r:id="rId13" xr:uid="{50EFC786-ACD9-4FDB-B085-81876A8248D8}"/>
    <hyperlink ref="D16" r:id="rId14" xr:uid="{0BD6E4CB-05A0-4383-8064-D654DCF28F2B}"/>
    <hyperlink ref="D17" r:id="rId15" xr:uid="{1F7B9907-FCE3-4853-8F19-0A6CC291A17E}"/>
    <hyperlink ref="D18" r:id="rId16" xr:uid="{246D0E87-B37C-4E2C-BB8C-FEF67F16E3E8}"/>
    <hyperlink ref="D19" r:id="rId17" xr:uid="{1D1A34BC-042F-4924-AEBB-4DDF0FDCCE08}"/>
    <hyperlink ref="D20" r:id="rId18" xr:uid="{58271133-42A5-478F-BC9E-8716BBD91378}"/>
    <hyperlink ref="D21" r:id="rId19" xr:uid="{5BC0752A-45B9-489B-8099-7E57EBF30F34}"/>
    <hyperlink ref="D22" r:id="rId20" xr:uid="{81305717-B90C-49BD-9C80-28D27902D6DC}"/>
    <hyperlink ref="D23" r:id="rId21" xr:uid="{52617EEC-E5CA-464C-BD04-1FE524511C62}"/>
    <hyperlink ref="D24" r:id="rId22" xr:uid="{AE8F2737-7176-4E63-B654-DB3ECE0297FE}"/>
    <hyperlink ref="D25" r:id="rId23" xr:uid="{5EB4555A-262E-41F0-B7F3-F4B567C2032B}"/>
    <hyperlink ref="D26" r:id="rId24" xr:uid="{8E8990E2-1A23-4455-82E3-92ED0734BB58}"/>
    <hyperlink ref="D27" r:id="rId25" xr:uid="{EE487098-29FC-4844-8FCD-A91104B361AB}"/>
    <hyperlink ref="D28" r:id="rId26" xr:uid="{BF00C132-318E-4111-880B-456A1DB70E39}"/>
    <hyperlink ref="D29" r:id="rId27" xr:uid="{EEA39BB9-9D00-4453-AA4D-AC038B87DC0A}"/>
    <hyperlink ref="D30" r:id="rId28" xr:uid="{485667E4-06B0-4438-80E8-ADCF386A6FD3}"/>
    <hyperlink ref="D31" r:id="rId29" xr:uid="{22F5DD2A-8850-4128-A422-552FE2523973}"/>
    <hyperlink ref="D32" r:id="rId30" xr:uid="{8133BF8A-54F9-4C10-83F8-79744F3D533A}"/>
    <hyperlink ref="D33" r:id="rId31" xr:uid="{F8EA8EF1-34AD-44E3-A48B-C3602256B752}"/>
    <hyperlink ref="D34" r:id="rId32" xr:uid="{9D6DD82E-53D8-402B-B294-D19B314814F6}"/>
    <hyperlink ref="D35" r:id="rId33" xr:uid="{A0E16508-0F7C-46B8-BD7D-B1EF9950F39D}"/>
    <hyperlink ref="D36" r:id="rId34" xr:uid="{5F7DD128-7069-4356-B54D-90AC1437EB43}"/>
    <hyperlink ref="D37" r:id="rId35" xr:uid="{8659AFD6-C815-4605-A633-E9B6F15DE83E}"/>
    <hyperlink ref="D38" r:id="rId36" xr:uid="{EB30876C-742D-4DD1-BBF2-1308D2637670}"/>
    <hyperlink ref="D39" r:id="rId37" xr:uid="{FC11C2B4-DEA1-42C8-B5FF-0A9483B26C15}"/>
    <hyperlink ref="D40" r:id="rId38" xr:uid="{63D775B1-E991-4EA2-B7D1-27824E663610}"/>
    <hyperlink ref="D41" r:id="rId39" xr:uid="{7A825221-ED0E-4DFB-B7E4-C19F6CE1BF8D}"/>
    <hyperlink ref="D42" r:id="rId40" xr:uid="{67ADE5EB-A388-4E1B-AB35-B5831E50AD9B}"/>
    <hyperlink ref="D43" r:id="rId41" xr:uid="{F6025887-6C00-414F-B262-A3658CC16340}"/>
    <hyperlink ref="D44" r:id="rId42" xr:uid="{8F67B187-B3D2-4FC7-B406-A44F75FAC486}"/>
    <hyperlink ref="D45" r:id="rId43" xr:uid="{FA3CC514-13E0-4E84-96AB-10076DC4C986}"/>
    <hyperlink ref="D46" r:id="rId44" xr:uid="{63380BE5-1B85-4EA0-A151-74D896FBE0B7}"/>
    <hyperlink ref="D47" r:id="rId45" xr:uid="{98769529-4D7D-48E5-9848-27769F350FBF}"/>
    <hyperlink ref="D48" r:id="rId46" xr:uid="{8D756AE6-DDC3-4C4C-AD96-6CBDB1F1D559}"/>
    <hyperlink ref="D49" r:id="rId47" xr:uid="{75D67681-5D5E-4404-BF26-E41CF8CE5FAD}"/>
    <hyperlink ref="D50" r:id="rId48" xr:uid="{2A248291-3220-48A9-9447-B5C751E6827E}"/>
    <hyperlink ref="D51" r:id="rId49" xr:uid="{117BA1D3-7A2C-4675-8897-A654A123D966}"/>
    <hyperlink ref="D52" r:id="rId50" xr:uid="{BF98BD3B-B22D-4081-83B8-CDA5042F15D4}"/>
    <hyperlink ref="D53" r:id="rId51" xr:uid="{C1883E14-F6C4-4E56-884A-78342453312F}"/>
    <hyperlink ref="D54" r:id="rId52" xr:uid="{4729BB75-9CAB-4933-BB39-BB5DBEB6BD9F}"/>
    <hyperlink ref="D55" r:id="rId53" xr:uid="{B18ED556-6A58-4F05-912B-086B38705F2B}"/>
    <hyperlink ref="D56" r:id="rId54" xr:uid="{1B58614D-EB37-4804-B17B-AC58CC313B09}"/>
    <hyperlink ref="D57" r:id="rId55" xr:uid="{4DA88DD5-CE99-4619-A018-99A93E6410E2}"/>
    <hyperlink ref="D58" r:id="rId56" xr:uid="{E271E57B-C647-4379-A9C2-4B7ED505F9F6}"/>
    <hyperlink ref="D59" r:id="rId57" xr:uid="{54088538-366B-4AF6-BB73-18949835FDCD}"/>
    <hyperlink ref="D60" r:id="rId58" xr:uid="{C924E9A5-B88A-40BD-9E6D-5877DE1FF9E2}"/>
    <hyperlink ref="D61" r:id="rId59" xr:uid="{A1F6EEC9-1D83-4C3E-A784-581DDCE91852}"/>
    <hyperlink ref="D62" r:id="rId60" xr:uid="{5E12C1CE-820F-429C-946D-3B0ECAC5078B}"/>
    <hyperlink ref="D63" r:id="rId61" xr:uid="{DE58916D-8207-4006-A639-48666991D2A8}"/>
    <hyperlink ref="D64" r:id="rId62" xr:uid="{AC516BEE-C586-4674-9B69-FD287BB66F5F}"/>
    <hyperlink ref="D65" r:id="rId63" xr:uid="{D175A12B-F024-4688-B11A-7F05320E8514}"/>
    <hyperlink ref="D66" r:id="rId64" xr:uid="{4DE6841E-4A97-46C8-B2F3-BCF407A000FD}"/>
    <hyperlink ref="D67" r:id="rId65" xr:uid="{A2316948-6C64-4CBC-BA1B-79183383AEE8}"/>
    <hyperlink ref="D68" r:id="rId66" xr:uid="{9E34B234-010A-4F46-BF8E-05B75D3B12A4}"/>
    <hyperlink ref="D69" r:id="rId67" xr:uid="{4511310F-DF5C-4FA2-91CF-31E489E1CECC}"/>
    <hyperlink ref="D70" r:id="rId68" xr:uid="{B491FD76-F11B-4892-B849-A18ACAF3626B}"/>
    <hyperlink ref="D71" r:id="rId69" xr:uid="{69755571-453B-4DF4-9B2D-EFBDAED0E761}"/>
    <hyperlink ref="D72" r:id="rId70" xr:uid="{C30A632C-FD47-4A88-AC19-A1C9213CB546}"/>
    <hyperlink ref="D73" r:id="rId71" xr:uid="{9AD7CCE3-35F4-43B5-B481-DEBEC292B4E0}"/>
    <hyperlink ref="D74" r:id="rId72" xr:uid="{CBD4784E-06D0-44A5-805F-8D504B133208}"/>
    <hyperlink ref="D75" r:id="rId73" xr:uid="{4935EA4F-91CC-49C0-A2B1-E008A893149B}"/>
    <hyperlink ref="D76" r:id="rId74" xr:uid="{10782CBE-D59F-4E18-8049-51EDD3C93D60}"/>
    <hyperlink ref="D77" r:id="rId75" xr:uid="{022FEAB3-C981-4DE1-B2B3-88023886F231}"/>
    <hyperlink ref="D78" r:id="rId76" xr:uid="{CE75D2F8-DE2C-477E-9062-635C9489D333}"/>
    <hyperlink ref="D79" r:id="rId77" xr:uid="{24B62467-D0D9-4B5D-BBDB-342C30ED4F53}"/>
    <hyperlink ref="D80" r:id="rId78" xr:uid="{145CD1D4-2D26-4B52-B349-E0EBE682F47F}"/>
    <hyperlink ref="D81" r:id="rId79" xr:uid="{DAD35A90-B82A-42A5-B5AE-D7534B53D71B}"/>
    <hyperlink ref="D82" r:id="rId80" xr:uid="{06CBB478-03B5-492A-815B-6850C5E1B280}"/>
    <hyperlink ref="D83" r:id="rId81" xr:uid="{BCB279D5-CDC6-49A0-93E3-79B21290BA3F}"/>
    <hyperlink ref="D84" r:id="rId82" xr:uid="{4B2918AE-CE31-486B-8CD9-A4896A425FE2}"/>
    <hyperlink ref="D85" r:id="rId83" xr:uid="{1A1D283C-925C-43AE-9647-A1A908E9EA1A}"/>
    <hyperlink ref="D86" r:id="rId84" xr:uid="{B4A2DA12-15B9-44BC-AAD9-911C5C221EAB}"/>
    <hyperlink ref="D87" r:id="rId85" xr:uid="{CDCF6494-358E-4A95-A374-795895DBDE98}"/>
    <hyperlink ref="D88" r:id="rId86" xr:uid="{B34DBF53-821B-4C9C-AD14-99281A63FCA2}"/>
    <hyperlink ref="D89" r:id="rId87" xr:uid="{0F197669-93FC-4DFB-AB24-2E5D471CC0EF}"/>
    <hyperlink ref="D90" r:id="rId88" xr:uid="{1B6F0E1C-6026-4700-8821-D6147075E970}"/>
    <hyperlink ref="D91" r:id="rId89" xr:uid="{DE80EA66-4B9D-4AA8-B6E8-48CBE0349572}"/>
    <hyperlink ref="D92" r:id="rId90" xr:uid="{36B4AE40-CFA0-4C1D-9046-309F03E3F299}"/>
    <hyperlink ref="D93" r:id="rId91" xr:uid="{F74DCF23-AEE0-4BC5-BB6A-046043BBD844}"/>
    <hyperlink ref="D94" r:id="rId92" xr:uid="{6F93190B-828C-44C3-96D1-4EB2679B3665}"/>
    <hyperlink ref="D95" r:id="rId93" xr:uid="{AB717329-C351-44DD-BA1F-FC4A50A86C45}"/>
    <hyperlink ref="D96" r:id="rId94" xr:uid="{8D51E3C0-C699-4E5B-BE06-B5AB6957CC55}"/>
    <hyperlink ref="D97" r:id="rId95" xr:uid="{C0352107-0FC7-47CB-A904-A9E1509ADD89}"/>
    <hyperlink ref="D98" r:id="rId96" xr:uid="{0D38AA5E-7DB7-4616-A278-20DD26C5C1B1}"/>
    <hyperlink ref="D99" r:id="rId97" xr:uid="{10AE3253-05FB-4567-BCAB-DE1D9523FD58}"/>
    <hyperlink ref="D100" r:id="rId98" xr:uid="{7A3C1C2F-88B9-4FAF-AFB8-F271F3722825}"/>
    <hyperlink ref="D101" r:id="rId99" xr:uid="{87EBADEF-F88A-4941-BBAE-EED3A01F223F}"/>
    <hyperlink ref="D102" r:id="rId100" xr:uid="{4CFC0500-9B28-4475-88FD-227D10BEB0D0}"/>
    <hyperlink ref="D103" r:id="rId101" xr:uid="{0557517E-E652-47DD-B9C2-CFF28172824C}"/>
    <hyperlink ref="D104" r:id="rId102" xr:uid="{2AB72149-D1D7-4D90-82FF-E5074789FE73}"/>
    <hyperlink ref="D105" r:id="rId103" xr:uid="{0197BC67-9E64-4123-B62E-270844D66A66}"/>
    <hyperlink ref="D106" r:id="rId104" xr:uid="{985B7B50-4E03-4C9A-AC7D-761F18749BDD}"/>
    <hyperlink ref="D107" r:id="rId105" xr:uid="{557093C6-CCBF-4E26-A953-D612A75928F0}"/>
    <hyperlink ref="D108" r:id="rId106" xr:uid="{BE5C6D4E-658A-4807-86A5-A26624FE9398}"/>
    <hyperlink ref="D109" r:id="rId107" xr:uid="{8B2E6E1A-0CB8-4275-9CAE-0DA70565FAC1}"/>
    <hyperlink ref="D110" r:id="rId108" xr:uid="{C348C949-61F9-4B76-9515-8AA8427B3C9E}"/>
    <hyperlink ref="D111" r:id="rId109" xr:uid="{A6FCBC8A-ED65-4F9C-8F27-17D3C30A03D3}"/>
    <hyperlink ref="D112" r:id="rId110" xr:uid="{838CB2F6-DBAD-4DF6-8B37-9A5597AAABE8}"/>
    <hyperlink ref="D113" r:id="rId111" xr:uid="{8D4107BA-150F-4569-AE29-A5B840BF71B1}"/>
    <hyperlink ref="D114" r:id="rId112" xr:uid="{415D69B1-10F2-4298-A1B9-EE3DD49AFA8D}"/>
    <hyperlink ref="D115" r:id="rId113" xr:uid="{AF8C326C-90BA-4E7B-AB97-7A46622E36BE}"/>
    <hyperlink ref="D116" r:id="rId114" xr:uid="{1EB8E49E-CF8B-45E5-B470-823E6443EE33}"/>
    <hyperlink ref="D117" r:id="rId115" xr:uid="{99089D3B-6A50-4DF8-86F8-1B301FC69E80}"/>
    <hyperlink ref="D118" r:id="rId116" xr:uid="{DF107831-7CE1-4895-9B50-6A76580D713F}"/>
    <hyperlink ref="D119" r:id="rId117" xr:uid="{12C4F411-02FC-41C0-956A-95461BF8A0D5}"/>
    <hyperlink ref="D120" r:id="rId118" xr:uid="{794DB7FC-A4D0-431F-9BA3-96C88068D9C2}"/>
    <hyperlink ref="D121" r:id="rId119" xr:uid="{C1A511EC-FD02-48D2-8B4C-AB80135F7ECE}"/>
    <hyperlink ref="D122" r:id="rId120" xr:uid="{C6E0DCEF-E797-4CC8-BE0C-40919255AE9F}"/>
    <hyperlink ref="D123" r:id="rId121" xr:uid="{0C837DEA-FC9B-4958-BD21-96F262050CE1}"/>
    <hyperlink ref="D124" r:id="rId122" xr:uid="{D7D4362C-4D97-455A-9475-4F97D1B6EEC4}"/>
    <hyperlink ref="D125" r:id="rId123" xr:uid="{8177CA7A-AD5F-4929-A2CF-028B7D3F10E5}"/>
    <hyperlink ref="D126" r:id="rId124" xr:uid="{6DBC437E-3E4D-4070-B310-79808AB3DA17}"/>
    <hyperlink ref="D127" r:id="rId125" xr:uid="{2997AC93-A5E9-42B8-9DCE-716DED699CBA}"/>
    <hyperlink ref="D128" r:id="rId126" xr:uid="{14874F5E-5DB1-4785-866A-0F41CE728D54}"/>
    <hyperlink ref="D129" r:id="rId127" xr:uid="{FF8D949E-0634-4A74-A614-FF289063641D}"/>
    <hyperlink ref="D130" r:id="rId128" xr:uid="{C8CA557F-A0E2-4791-802A-9623A650EE3F}"/>
    <hyperlink ref="D131" r:id="rId129" xr:uid="{1328EE43-161E-4DEF-9E94-AAA26389F99F}"/>
    <hyperlink ref="D132" r:id="rId130" xr:uid="{31396DD5-3127-4602-BAB5-798E0101521C}"/>
    <hyperlink ref="D133" r:id="rId131" xr:uid="{0BDB38A4-4F8F-4676-B517-7F132A294375}"/>
    <hyperlink ref="D134" r:id="rId132" xr:uid="{E567522C-361F-480E-924D-9FADFAA40E6D}"/>
    <hyperlink ref="D135" r:id="rId133" xr:uid="{2BBB5D08-712B-4A8C-BDBC-AE1D005A2005}"/>
    <hyperlink ref="D136" r:id="rId134" xr:uid="{CFDF92A3-912C-41D1-899A-B6C3B425D029}"/>
    <hyperlink ref="D137" r:id="rId135" xr:uid="{50E45B35-DAC6-449D-9508-EC72C6A892F3}"/>
    <hyperlink ref="E3" r:id="rId136" xr:uid="{88CFAE6E-7EB0-4216-A7FD-1F3B453F5577}"/>
    <hyperlink ref="E4" r:id="rId137" xr:uid="{C61B7F21-3606-4531-8B73-419BF167DBE5}"/>
    <hyperlink ref="E5" r:id="rId138" xr:uid="{4E36D478-4E51-4F93-837A-D2BC1AEBD47B}"/>
    <hyperlink ref="E6" r:id="rId139" xr:uid="{CEDEF034-24A7-414E-A3AB-95D381C99D5F}"/>
    <hyperlink ref="E7" r:id="rId140" xr:uid="{C40206D3-8112-4AC6-B983-B0C951C21A29}"/>
    <hyperlink ref="E8" r:id="rId141" xr:uid="{46510C8A-B534-4C61-AEBF-A3135B8C36BA}"/>
    <hyperlink ref="E9" r:id="rId142" xr:uid="{0D49C55C-37DD-4DCC-A9A5-D5EAE76E16A7}"/>
    <hyperlink ref="E10" r:id="rId143" xr:uid="{B27333F1-FEB7-4C30-A206-FF84734B0BCB}"/>
    <hyperlink ref="E11" r:id="rId144" xr:uid="{2A85FDF6-2BDF-4D41-9EDB-CEDF3E91A18D}"/>
    <hyperlink ref="E12" r:id="rId145" xr:uid="{5F4F7A6F-1ADF-49E8-ABF5-B45B85C4665A}"/>
    <hyperlink ref="E13" r:id="rId146" xr:uid="{7F7D9CD8-549A-43FC-8D8F-7EF4B80E3CDC}"/>
    <hyperlink ref="E14" r:id="rId147" xr:uid="{979EC8F6-34A1-476B-9C33-84E69E3B2DDC}"/>
    <hyperlink ref="E15" r:id="rId148" xr:uid="{79BC3ACA-0D46-4726-AD26-B2DE9A2CF42F}"/>
    <hyperlink ref="E16" r:id="rId149" xr:uid="{DBEC0402-D2C7-451C-8B6D-CD55D8888700}"/>
    <hyperlink ref="E17" r:id="rId150" xr:uid="{4E786D55-E2DD-48F0-B399-583F78CB5FFF}"/>
    <hyperlink ref="E18" r:id="rId151" xr:uid="{1C22FC4B-CB03-4F7D-B6ED-432061FEAD84}"/>
    <hyperlink ref="E19" r:id="rId152" xr:uid="{4A5DF819-4791-42DA-9834-6BC2FCB6F5E8}"/>
    <hyperlink ref="E20" r:id="rId153" xr:uid="{114DBA68-B7DD-42CF-B56E-3EDFDAEEA1DF}"/>
    <hyperlink ref="E21" r:id="rId154" xr:uid="{8B4CC22F-68A7-4B21-BB9A-A73F29DE073D}"/>
    <hyperlink ref="E22" r:id="rId155" xr:uid="{8C3AE1BE-B07F-4636-9BD7-4E346E4C6031}"/>
    <hyperlink ref="E23" r:id="rId156" xr:uid="{E7BD3B5B-C1EF-481B-8823-91EC2AEEE7CC}"/>
    <hyperlink ref="E24" r:id="rId157" xr:uid="{CE94BAAF-78FA-4013-93A2-D9831F2BECC5}"/>
    <hyperlink ref="E25" r:id="rId158" xr:uid="{390687AB-9F01-4EA8-A53B-13D6B501F6B4}"/>
    <hyperlink ref="E26" r:id="rId159" xr:uid="{74811871-E808-48C9-8665-2438B95933E0}"/>
    <hyperlink ref="E27" r:id="rId160" xr:uid="{2CF5727F-BE18-40FB-9661-D45628876E2C}"/>
    <hyperlink ref="E28" r:id="rId161" xr:uid="{1F7E6969-CB2D-40AF-8CCB-251D8DFDC650}"/>
    <hyperlink ref="E29" r:id="rId162" xr:uid="{44DE3DBD-B067-4552-90E7-8F3C66027C55}"/>
    <hyperlink ref="E30" r:id="rId163" xr:uid="{C42E97AB-2C99-4580-98BC-8937ACC259F9}"/>
    <hyperlink ref="E31" r:id="rId164" xr:uid="{0CACE5B1-2167-492F-9797-AE2C7A14FE8D}"/>
    <hyperlink ref="E32" r:id="rId165" xr:uid="{1AE2D161-2EB4-441F-93EE-DB041B3551C9}"/>
    <hyperlink ref="E33" r:id="rId166" xr:uid="{E85F90C3-6764-43A8-B4E0-90EEFE25EA7B}"/>
    <hyperlink ref="E34" r:id="rId167" xr:uid="{76FCB8DB-95B2-4360-A633-FC859F16BE8E}"/>
    <hyperlink ref="E35" r:id="rId168" xr:uid="{C4C43DAD-0BBD-4852-9270-83A19323A5BC}"/>
    <hyperlink ref="E36" r:id="rId169" xr:uid="{BD472E4E-4402-42CB-B5ED-A48FF25BE727}"/>
    <hyperlink ref="E37" r:id="rId170" xr:uid="{54A29603-8203-40CF-8FE6-B3CB43DD3AA8}"/>
    <hyperlink ref="E38" r:id="rId171" xr:uid="{C6F0B73A-2C1C-4E27-A311-4F393D39BCFD}"/>
    <hyperlink ref="E39" r:id="rId172" xr:uid="{DE2A0C2B-F0EE-44F0-B17B-F2978FA50B25}"/>
    <hyperlink ref="E40" r:id="rId173" xr:uid="{A78AF788-7562-4E83-BEDA-4B0B28020588}"/>
    <hyperlink ref="E41" r:id="rId174" xr:uid="{FE482622-75E7-42A7-BE3C-7373905258DA}"/>
    <hyperlink ref="E42" r:id="rId175" xr:uid="{91C369CA-AEAA-4969-86A2-BD00540637C0}"/>
    <hyperlink ref="E43" r:id="rId176" xr:uid="{99BAA6BA-3741-49BE-BD00-D0CADFC66227}"/>
    <hyperlink ref="E44" r:id="rId177" xr:uid="{AC9CC0E3-5D8C-4475-9551-19AED9D1ED8C}"/>
    <hyperlink ref="E45" r:id="rId178" xr:uid="{99085D0E-537B-4B37-A429-6011E1FFF7A5}"/>
    <hyperlink ref="E46" r:id="rId179" xr:uid="{0F44AD04-DC6F-461C-B279-0E6D066B39E4}"/>
    <hyperlink ref="E47" r:id="rId180" xr:uid="{D28ADB3D-FF44-4CEF-89A5-C05D56BC3C23}"/>
    <hyperlink ref="E48" r:id="rId181" xr:uid="{469B5510-519E-4B78-9BE7-47B4B7BF351C}"/>
    <hyperlink ref="E49" r:id="rId182" xr:uid="{2004FF49-29C1-4C45-8ABD-3117EB602A4D}"/>
    <hyperlink ref="E50" r:id="rId183" xr:uid="{AA3D07CE-7EA9-42B1-81E7-5C4945DD3A67}"/>
    <hyperlink ref="E51" r:id="rId184" xr:uid="{3EA1CABC-F526-4028-B00B-4D631AC70568}"/>
    <hyperlink ref="E52" r:id="rId185" xr:uid="{247DA7DF-F78E-4E2F-ACEF-64C4146CEB0E}"/>
    <hyperlink ref="E53" r:id="rId186" xr:uid="{44991C1E-1FF7-418F-B2ED-497E305A33B3}"/>
    <hyperlink ref="E54" r:id="rId187" xr:uid="{46A011ED-1179-4A12-8FB0-BC9165687C23}"/>
    <hyperlink ref="E55" r:id="rId188" xr:uid="{C2E2D650-9161-4A06-B15D-804EFB3CECEC}"/>
    <hyperlink ref="E56" r:id="rId189" xr:uid="{33EA659E-FF17-468C-BF7B-4DBD249856E5}"/>
    <hyperlink ref="E57" r:id="rId190" xr:uid="{45164524-5D35-4975-8418-9C5B56538A8A}"/>
    <hyperlink ref="E58" r:id="rId191" xr:uid="{54B7F6AC-2E0D-4025-8601-47CCE20CA103}"/>
    <hyperlink ref="E59" r:id="rId192" xr:uid="{56B14A1F-AA32-4CCD-AFF1-7CFFC83122DB}"/>
    <hyperlink ref="E60" r:id="rId193" xr:uid="{A51655FD-59DC-4B67-B7D1-BAEA05BD54A7}"/>
    <hyperlink ref="E61" r:id="rId194" xr:uid="{83D386BE-A02D-466D-BA5A-DC4A52D2310E}"/>
    <hyperlink ref="E62" r:id="rId195" xr:uid="{8649739E-D9C9-43EE-A1CD-1FF2A7C72E96}"/>
    <hyperlink ref="E63" r:id="rId196" xr:uid="{F3C76ABD-98B6-458D-AD70-04CA4578BFF1}"/>
    <hyperlink ref="E64" r:id="rId197" xr:uid="{6E78ABC9-98F8-44DE-AC08-350F8F391C3B}"/>
    <hyperlink ref="E65" r:id="rId198" xr:uid="{7E90DAE9-216F-463F-97FE-89CF11A97209}"/>
    <hyperlink ref="E66" r:id="rId199" xr:uid="{FBA93E2A-259C-42C4-92E8-E1FC2DF23F99}"/>
    <hyperlink ref="E67" r:id="rId200" xr:uid="{CA2C823B-E994-4B3F-AAFB-A2ECA7E31C44}"/>
    <hyperlink ref="E68" r:id="rId201" xr:uid="{06006E25-D66A-42C0-BBE7-0F427F46451D}"/>
    <hyperlink ref="E69" r:id="rId202" xr:uid="{851F85FA-9880-4CB2-803A-62EA139E1928}"/>
    <hyperlink ref="E70" r:id="rId203" xr:uid="{C6D12C8A-B927-42F6-AFD2-FC23687342FE}"/>
    <hyperlink ref="E71" r:id="rId204" xr:uid="{6A007299-8D75-4695-874B-41BB8712A397}"/>
    <hyperlink ref="E72" r:id="rId205" xr:uid="{5A2F4794-D231-4F53-A2B9-6CFAB5ED1414}"/>
    <hyperlink ref="E73" r:id="rId206" xr:uid="{77D09913-EF6B-4B9E-9690-78C8B6B44CE9}"/>
    <hyperlink ref="E74" r:id="rId207" xr:uid="{4C9BA6C9-126E-4C1C-B661-04568EFE89AD}"/>
    <hyperlink ref="E75" r:id="rId208" xr:uid="{CBE7B73D-DE10-4D86-B62A-1656357228A8}"/>
    <hyperlink ref="E76" r:id="rId209" xr:uid="{431DE237-42FD-43A9-9B82-9814735DFED7}"/>
    <hyperlink ref="E77" r:id="rId210" xr:uid="{22FC6D2D-BD64-4358-9511-B8190B97D07D}"/>
    <hyperlink ref="E78" r:id="rId211" xr:uid="{2B0B2156-F181-4E6F-8598-5A29C86D4414}"/>
    <hyperlink ref="E79" r:id="rId212" xr:uid="{4CD8CA68-C4DA-4DC7-BECB-B9E719109355}"/>
    <hyperlink ref="E80" r:id="rId213" xr:uid="{A5FFB020-BE47-4294-B4CC-71DD8A18CFE6}"/>
    <hyperlink ref="E81" r:id="rId214" xr:uid="{2013D280-8E4A-4DDA-A85B-0A37F1E7C506}"/>
    <hyperlink ref="E82" r:id="rId215" xr:uid="{12AEB849-CF00-4C87-9C6A-C8AE69970235}"/>
    <hyperlink ref="E83" r:id="rId216" xr:uid="{CE159818-851B-4DF0-8EF7-1138210CBC6D}"/>
    <hyperlink ref="E84" r:id="rId217" xr:uid="{FB9D03F6-EF68-45B2-B56E-C15BAB4F4654}"/>
    <hyperlink ref="E85" r:id="rId218" xr:uid="{19616AF4-6078-4310-B13E-92B961EED3AB}"/>
    <hyperlink ref="E86" r:id="rId219" xr:uid="{B101F965-D103-446E-BB5D-37B77E104C0C}"/>
    <hyperlink ref="E87" r:id="rId220" xr:uid="{7D67EC88-B8C0-4C0D-9B33-0DD816EB0C1F}"/>
    <hyperlink ref="E88" r:id="rId221" xr:uid="{752B6945-AFF1-4899-A3BB-061036929E62}"/>
    <hyperlink ref="E89" r:id="rId222" xr:uid="{F45BCA7F-4B1B-4812-91BC-4E93A8C2635E}"/>
    <hyperlink ref="E90" r:id="rId223" xr:uid="{CFBABF4E-C870-41E3-89F4-F3F39EC30120}"/>
    <hyperlink ref="E91" r:id="rId224" xr:uid="{B0BA04D5-0BD7-49A4-9E96-76C093A9AC53}"/>
    <hyperlink ref="E92" r:id="rId225" xr:uid="{DFF0B4FB-3C7A-4EB3-8564-52C4CD6B7D1D}"/>
    <hyperlink ref="E93" r:id="rId226" xr:uid="{05BA8C0B-B36C-4C9A-A03A-3D773C05F1BD}"/>
    <hyperlink ref="E94" r:id="rId227" xr:uid="{0E76D8EB-4A18-449B-A6E8-D9AA00F72EA4}"/>
    <hyperlink ref="E95" r:id="rId228" xr:uid="{B9982F5E-71D0-4597-8136-D84F0DBB14F0}"/>
    <hyperlink ref="E96" r:id="rId229" xr:uid="{E8C229A6-8B3A-4501-891B-2DE79919ADD7}"/>
    <hyperlink ref="E97" r:id="rId230" xr:uid="{3195A7DB-D1CB-40E7-A8B5-2E926F3B690F}"/>
    <hyperlink ref="E98" r:id="rId231" xr:uid="{82D8AAA4-A4A8-4651-858C-C1CEB7A24994}"/>
    <hyperlink ref="E99" r:id="rId232" xr:uid="{AD3EDF67-ECDE-44B5-9C85-207ED25787F2}"/>
    <hyperlink ref="E100" r:id="rId233" xr:uid="{5B62DE71-3BD4-4B11-9BD0-0FA8136AC812}"/>
    <hyperlink ref="E101" r:id="rId234" xr:uid="{6899AA0D-16BA-4AEE-AD2A-DEF37506E090}"/>
    <hyperlink ref="E102" r:id="rId235" xr:uid="{365C506D-79C9-4F03-AB21-8346E3CE7692}"/>
    <hyperlink ref="E103" r:id="rId236" xr:uid="{5A2A92A7-8A2D-4C79-B550-81A63B35A539}"/>
    <hyperlink ref="E104" r:id="rId237" xr:uid="{4A36D9A1-D768-41D6-9DAB-16C8112236A8}"/>
    <hyperlink ref="E105" r:id="rId238" xr:uid="{9ED5E814-29F7-4512-91B5-FCCA64221165}"/>
    <hyperlink ref="E106" r:id="rId239" xr:uid="{A69435B6-10E6-4420-9ED3-ABD7C2449920}"/>
    <hyperlink ref="E107" r:id="rId240" xr:uid="{9A34165F-7430-4CAD-AAAB-A0893DC04DB7}"/>
    <hyperlink ref="E108" r:id="rId241" xr:uid="{52677DE6-DAA7-4066-87A1-E62C82759550}"/>
    <hyperlink ref="E109" r:id="rId242" xr:uid="{17E46075-5A21-4232-80F5-A357548D0BA3}"/>
    <hyperlink ref="E110" r:id="rId243" xr:uid="{5498F621-3612-4E7F-A7DA-8C1D0ED81E9C}"/>
    <hyperlink ref="E111" r:id="rId244" xr:uid="{8E2BED0D-8721-47BB-83C4-8F6386702059}"/>
    <hyperlink ref="E112" r:id="rId245" xr:uid="{85464D66-2546-4DD8-8820-603D31072545}"/>
    <hyperlink ref="E113" r:id="rId246" xr:uid="{6A5D5777-9A70-42FE-89A6-3D4E31394E78}"/>
    <hyperlink ref="E114" r:id="rId247" xr:uid="{FBF35AD9-C8CF-4493-924C-90021FA506AF}"/>
    <hyperlink ref="E115" r:id="rId248" xr:uid="{DBBF33FC-EDAF-4C35-976C-16526A847A70}"/>
    <hyperlink ref="E116" r:id="rId249" xr:uid="{C60EA80F-4F22-4F49-A52E-937F2F72A731}"/>
    <hyperlink ref="E117" r:id="rId250" xr:uid="{926E996B-560E-4511-8B9D-1DAD61A680FE}"/>
    <hyperlink ref="E118" r:id="rId251" xr:uid="{50D524C2-9229-48B4-9178-9E4680AA1AA5}"/>
    <hyperlink ref="E119" r:id="rId252" xr:uid="{0009CCAF-F321-4DC1-AB9D-3E4BC849BA07}"/>
    <hyperlink ref="E120" r:id="rId253" xr:uid="{052D2EC1-71EF-4F50-858D-C5B1EAC19C54}"/>
    <hyperlink ref="E121" r:id="rId254" xr:uid="{F93ACE2F-7430-4224-8662-215E4902D6B0}"/>
    <hyperlink ref="E122" r:id="rId255" xr:uid="{AB489639-5CA3-49F8-B7DE-D6FBC6053B96}"/>
    <hyperlink ref="E123" r:id="rId256" xr:uid="{81EC2A46-4777-4D92-B114-EDBAC025E1C1}"/>
    <hyperlink ref="E124" r:id="rId257" xr:uid="{1C2534FC-ECC0-46AD-B0EE-6A5F00F23280}"/>
    <hyperlink ref="E125" r:id="rId258" xr:uid="{BF61ACE1-AC1C-45EC-8A5B-40E4486691B7}"/>
    <hyperlink ref="E126" r:id="rId259" xr:uid="{626DA006-4D62-4CFC-90A1-F19243CAC7E4}"/>
    <hyperlink ref="E127" r:id="rId260" xr:uid="{BBE1ABEA-9D4B-46A5-A6BB-6FF66FE35BA0}"/>
    <hyperlink ref="E128" r:id="rId261" xr:uid="{265A1BEF-3AC9-43B9-880F-A1417EF76AB2}"/>
    <hyperlink ref="E129" r:id="rId262" xr:uid="{A11B531E-1BD0-47F1-BE0F-68D9F136B928}"/>
    <hyperlink ref="E130" r:id="rId263" xr:uid="{7AA88067-D958-481E-AFCE-6DECC77F5534}"/>
    <hyperlink ref="E131" r:id="rId264" xr:uid="{22672F52-F91E-483D-AE62-D8A3D017AF87}"/>
    <hyperlink ref="E132" r:id="rId265" xr:uid="{59CBE50D-97B0-436D-80DD-5F6F2E096B58}"/>
    <hyperlink ref="E133" r:id="rId266" xr:uid="{720BB8D1-4A8B-4DD7-8A35-54AB7755C6A6}"/>
    <hyperlink ref="E134" r:id="rId267" xr:uid="{A79C3BC9-7825-4BE6-8607-FB54EAEB0E53}"/>
    <hyperlink ref="E135" r:id="rId268" xr:uid="{3AFA3A75-2C6F-47F7-AC5B-E4ED96D00A72}"/>
    <hyperlink ref="E136" r:id="rId269" xr:uid="{54B5CC5D-7893-49A7-A7EA-CC69FED0BC81}"/>
    <hyperlink ref="E137" r:id="rId270" xr:uid="{0F6A53A3-62DC-486E-A572-1ACD6DD0FF34}"/>
    <hyperlink ref="D139" r:id="rId271" xr:uid="{2DE02DB1-5FE3-4C60-8B25-A1EB0EA0119E}"/>
    <hyperlink ref="E139" r:id="rId272" xr:uid="{EF065465-8546-4879-AD9E-74320F9B28A8}"/>
    <hyperlink ref="D160" r:id="rId273" xr:uid="{23D6BA58-4BFB-46BE-B82F-E864C139D563}"/>
    <hyperlink ref="D161" r:id="rId274" xr:uid="{215D3026-C0B9-4208-8CB3-1BCA965C44C7}"/>
    <hyperlink ref="D162" r:id="rId275" xr:uid="{3906F87B-0D93-4F42-9157-B3074AB45CEF}"/>
    <hyperlink ref="D163" r:id="rId276" xr:uid="{B9DE3659-4D82-4BFF-B95E-EEC085C8FB70}"/>
    <hyperlink ref="D164" r:id="rId277" xr:uid="{A08C4213-964E-421D-A69B-9F8A7FB59BA4}"/>
    <hyperlink ref="D165" r:id="rId278" xr:uid="{2966C4C6-68C5-4044-B629-14CE0B08A205}"/>
    <hyperlink ref="D167" r:id="rId279" xr:uid="{8231AF59-1D18-4D3E-81F6-C5E67E4DEB84}"/>
    <hyperlink ref="D168" r:id="rId280" xr:uid="{E3C231F2-BF5A-4BF8-B772-8155C253B3B2}"/>
    <hyperlink ref="D169" r:id="rId281" xr:uid="{7AF586AF-66F8-4CE3-B962-B997E3F5DA59}"/>
    <hyperlink ref="D170" r:id="rId282" xr:uid="{D290DF61-60AE-4E47-ACFB-8DFD8A004659}"/>
    <hyperlink ref="D171" r:id="rId283" xr:uid="{0FDA5673-AC7C-46C5-9B31-9B088E210238}"/>
    <hyperlink ref="D172" r:id="rId284" xr:uid="{C47A0B7A-DDCE-4F27-B670-8FA205DDF273}"/>
    <hyperlink ref="D173" r:id="rId285" xr:uid="{9138165C-4F27-4ED5-8145-0365F606FBC8}"/>
    <hyperlink ref="D175" r:id="rId286" xr:uid="{2AF26E2B-EB89-4AD3-B57F-598FD3E1BE1F}"/>
    <hyperlink ref="E160" r:id="rId287" xr:uid="{C91C86BB-44AE-4AAF-858F-D45C0C996BF1}"/>
    <hyperlink ref="E161" r:id="rId288" xr:uid="{F44CA25B-C47F-4558-86E5-0D1DFCA52E77}"/>
    <hyperlink ref="E162" r:id="rId289" xr:uid="{84551770-DF57-40C7-A9B5-7AB5101459C1}"/>
    <hyperlink ref="E163" r:id="rId290" xr:uid="{D8EFB0AD-6F34-4417-909E-62292216E35A}"/>
    <hyperlink ref="E164" r:id="rId291" xr:uid="{D8CD92AD-5AD6-4FE6-9C46-95D7D9FA1800}"/>
    <hyperlink ref="E165" r:id="rId292" xr:uid="{80938D17-04CA-45DA-8766-3C0A8752C3CE}"/>
    <hyperlink ref="E167" r:id="rId293" xr:uid="{D974335A-375B-4CF4-AD93-59C90E123D0B}"/>
    <hyperlink ref="E168" r:id="rId294" xr:uid="{8EC90F33-905C-402B-B970-89307B0611CF}"/>
    <hyperlink ref="E169" r:id="rId295" xr:uid="{7AD1A223-736D-4F7C-A3F3-6860F387C5CF}"/>
    <hyperlink ref="E170" r:id="rId296" xr:uid="{80FC128B-50EC-4022-B5EF-3D21B7E1055C}"/>
    <hyperlink ref="E171" r:id="rId297" xr:uid="{A9C85F51-EA5B-4CE1-94BB-5469E209FDB4}"/>
    <hyperlink ref="E172" r:id="rId298" xr:uid="{644873AB-BD02-4499-A374-9A6099C195CA}"/>
    <hyperlink ref="E173" r:id="rId299" xr:uid="{5F91091A-E809-4911-89BB-E0F26C05E555}"/>
    <hyperlink ref="E175" r:id="rId300" xr:uid="{5C168925-6559-42C0-B8A5-F224F9236CEC}"/>
    <hyperlink ref="D177" r:id="rId301" xr:uid="{499C7917-0E66-45CE-9A31-D9E5837EC730}"/>
    <hyperlink ref="D178" r:id="rId302" xr:uid="{5EEDCDFD-CC46-46C6-9FB9-81B20ED00F8C}"/>
    <hyperlink ref="D179" r:id="rId303" xr:uid="{98ADE82C-99FF-4AAA-B0E7-2EF710C5E8A7}"/>
    <hyperlink ref="D180" r:id="rId304" xr:uid="{2647CF4E-A21B-4745-AA6F-730E78BF9F3E}"/>
    <hyperlink ref="D181" r:id="rId305" xr:uid="{DB5184A2-D5E8-4D58-8586-4BA0A8F263D1}"/>
    <hyperlink ref="D182" r:id="rId306" xr:uid="{776095E8-C5D3-499E-90B0-8345A7BC30D9}"/>
    <hyperlink ref="D183" r:id="rId307" xr:uid="{F53C7BDF-67F7-421F-B9AD-DED28083E60A}"/>
    <hyperlink ref="D184" r:id="rId308" xr:uid="{6747B509-1FB8-45B1-BDD9-C919C417EDD5}"/>
    <hyperlink ref="D185" r:id="rId309" xr:uid="{D594E20C-899C-45D4-9C89-54FC98C55C58}"/>
    <hyperlink ref="D186" r:id="rId310" xr:uid="{E5662150-3C5C-46B4-A463-01C8EF5EE409}"/>
    <hyperlink ref="E177" r:id="rId311" xr:uid="{68FC64CB-C99F-47EF-B5CB-83856B5BD1FC}"/>
    <hyperlink ref="E178" r:id="rId312" xr:uid="{20088934-0675-4517-A37E-5554213FF676}"/>
    <hyperlink ref="E179" r:id="rId313" xr:uid="{47811C25-BD12-406D-BAD6-E9B4C00B4FBC}"/>
    <hyperlink ref="E180" r:id="rId314" xr:uid="{0A3AE7C3-9052-4D65-B4DA-AF344ABEBFA3}"/>
    <hyperlink ref="E181" r:id="rId315" xr:uid="{0C10B1CB-E899-401B-BE8B-A45E2ACF4C8B}"/>
    <hyperlink ref="E182" r:id="rId316" xr:uid="{B04EF403-EF4D-4F86-AE31-88B7CD13F3FD}"/>
    <hyperlink ref="E183" r:id="rId317" xr:uid="{CBB6C294-E4FA-44F1-B9CE-16FDC16F7AE2}"/>
    <hyperlink ref="E184" r:id="rId318" xr:uid="{003182C3-37E7-437A-9466-8E0C5DC485E9}"/>
    <hyperlink ref="E185" r:id="rId319" xr:uid="{F6D420A4-5B9E-4D3C-860E-EFF784380027}"/>
    <hyperlink ref="E186" r:id="rId320" xr:uid="{1B57F3DF-7643-4D56-8F09-A22F584092E1}"/>
    <hyperlink ref="D188" r:id="rId321" xr:uid="{70575AED-A7CE-4F8E-9B2C-FD0A1BC0873C}"/>
    <hyperlink ref="D189" r:id="rId322" xr:uid="{DF947FE9-ED01-48B5-927E-CB10EFCCAF66}"/>
    <hyperlink ref="D190" r:id="rId323" xr:uid="{4D831322-5938-4139-9659-E47CF340A75F}"/>
    <hyperlink ref="D191" r:id="rId324" xr:uid="{2361F59C-EDBA-4876-9B1D-FAA2572F4125}"/>
    <hyperlink ref="D193" r:id="rId325" xr:uid="{5E4A222D-1E25-4A6C-9978-9BC7B9F28A53}"/>
    <hyperlink ref="D194" r:id="rId326" xr:uid="{48C283E6-990C-4304-8844-705126D810A1}"/>
    <hyperlink ref="D195" r:id="rId327" xr:uid="{BA5BB51E-6E71-4B83-B433-513A7017C92C}"/>
    <hyperlink ref="D196" r:id="rId328" xr:uid="{ECF9F9ED-E6EA-42B1-B85D-5F2A8689375F}"/>
    <hyperlink ref="D197" r:id="rId329" xr:uid="{FC1968E1-27F8-4ACE-9B28-F907DB53CC66}"/>
    <hyperlink ref="D198" r:id="rId330" xr:uid="{BFB3CB40-D073-444B-95E4-0F346F5DD945}"/>
    <hyperlink ref="E188" r:id="rId331" xr:uid="{58CD6FB9-2816-4A6D-9037-0AEE289BBFB1}"/>
    <hyperlink ref="E189" r:id="rId332" xr:uid="{5CC74C7C-D9BD-47CB-B0FD-FC97EA69E85E}"/>
    <hyperlink ref="E190" r:id="rId333" xr:uid="{99D07B81-BD01-443B-B7BA-4D72C22C5128}"/>
    <hyperlink ref="E191" r:id="rId334" xr:uid="{3B6D5075-7E9C-46DB-97C6-FD24F48F394A}"/>
    <hyperlink ref="E193" r:id="rId335" xr:uid="{F0FCB911-E9C2-454F-9AD3-B7C954F0D6FC}"/>
    <hyperlink ref="E194" r:id="rId336" xr:uid="{2BA66DE6-E346-44E7-BC47-592E845D39EE}"/>
    <hyperlink ref="E195" r:id="rId337" xr:uid="{9DA26A2C-ABE9-4FB1-83AA-E7013289A3F7}"/>
    <hyperlink ref="E196" r:id="rId338" xr:uid="{25A446B9-F3B2-4DEE-A4C6-489B639D1A12}"/>
    <hyperlink ref="E197" r:id="rId339" xr:uid="{E148E6C4-014C-41D7-B189-A8551D16D977}"/>
    <hyperlink ref="E198" r:id="rId340" xr:uid="{DBFC3F9E-D5BA-4FB6-BBBF-FC807F68B35F}"/>
    <hyperlink ref="D192" r:id="rId341" xr:uid="{63D95ED3-EBC6-4B72-AD93-1575D7E44CA2}"/>
    <hyperlink ref="E192" r:id="rId342" xr:uid="{EA4CCF88-856A-4717-A78B-04C4F5A25E88}"/>
    <hyperlink ref="D201" r:id="rId343" xr:uid="{8528A3F0-220A-4AFC-AAF8-7794AC7E68E4}"/>
    <hyperlink ref="D202" r:id="rId344" xr:uid="{55260835-70CE-4C17-817A-F885C72FF334}"/>
    <hyperlink ref="D203" r:id="rId345" xr:uid="{69D1251C-4C59-466F-8A91-997317B37318}"/>
    <hyperlink ref="D204" r:id="rId346" xr:uid="{3112F387-B146-443A-8E46-CB639BF20A2C}"/>
    <hyperlink ref="D205" r:id="rId347" xr:uid="{5854B78B-112A-4CFB-933C-00262E24515D}"/>
    <hyperlink ref="D206" r:id="rId348" xr:uid="{12747F6B-31CA-44AB-8E91-55FC39C41EFD}"/>
    <hyperlink ref="D207" r:id="rId349" xr:uid="{3DF3A8C7-C0DF-4014-9D9F-DB6E49E81782}"/>
    <hyperlink ref="D208" r:id="rId350" xr:uid="{DCC3AF2F-F192-4159-8A1C-753F015554BF}"/>
    <hyperlink ref="D209" r:id="rId351" xr:uid="{19BEEDCB-8C1B-45F3-8EB2-821BC35E71D4}"/>
    <hyperlink ref="D210" r:id="rId352" xr:uid="{B1149889-A605-4C1B-9429-704C695C6F1E}"/>
    <hyperlink ref="D211" r:id="rId353" xr:uid="{1857431C-BE0B-44F3-B185-7CD9037B4CC6}"/>
    <hyperlink ref="D212" r:id="rId354" xr:uid="{A4F38081-0110-46DE-B77B-F141974DB1BF}"/>
    <hyperlink ref="D217" r:id="rId355" xr:uid="{11B7123C-E72C-49A2-8104-42C38A64C04D}"/>
    <hyperlink ref="D218" r:id="rId356" xr:uid="{550C2651-03A7-4D6E-81E3-D732A4C84E21}"/>
    <hyperlink ref="D215" r:id="rId357" xr:uid="{D631ECAA-D842-44EE-826C-EF7B45F72DB0}"/>
    <hyperlink ref="D216" r:id="rId358" xr:uid="{B8F8A19F-47B3-4790-A0DE-9AD62F3EA45E}"/>
    <hyperlink ref="D222" r:id="rId359" xr:uid="{E3B21C4F-D472-48CA-A86A-8270A366D204}"/>
    <hyperlink ref="D223" r:id="rId360" xr:uid="{0FFC0470-6A22-4698-B703-095198176B70}"/>
    <hyperlink ref="D219" r:id="rId361" xr:uid="{20ABBC08-F933-4626-8A45-3B7243EACDE5}"/>
    <hyperlink ref="D220" r:id="rId362" xr:uid="{EFEF2BF9-C626-4F78-9356-7B7C3681770F}"/>
    <hyperlink ref="D221" r:id="rId363" xr:uid="{20E9CEF6-D257-4519-98F2-61B60CFD7366}"/>
    <hyperlink ref="D224" r:id="rId364" xr:uid="{60A59033-FE9A-4912-AB26-3F8078EA9858}"/>
    <hyperlink ref="D225" r:id="rId365" xr:uid="{58C68D69-FF75-4F61-9DCC-85C15C58BE7D}"/>
    <hyperlink ref="D226" r:id="rId366" xr:uid="{EC3E7383-BE1E-450E-9487-AA543E8E71C2}"/>
    <hyperlink ref="D227" r:id="rId367" xr:uid="{93CE41E0-0AD3-4C2D-96C2-08ECA85F0CA5}"/>
    <hyperlink ref="D228" r:id="rId368" xr:uid="{397F196C-50F5-4A2A-A807-BBD7F89ACF85}"/>
    <hyperlink ref="D229" r:id="rId369" xr:uid="{4AB15317-DDB5-4965-AB08-DBC1E644CD4E}"/>
    <hyperlink ref="D230" r:id="rId370" xr:uid="{619723C8-8694-4886-AD50-D124A5108172}"/>
    <hyperlink ref="D231" r:id="rId371" xr:uid="{C8702779-8470-4460-BF70-035B7F04AB5F}"/>
    <hyperlink ref="D232" r:id="rId372" xr:uid="{D42AB5BE-2BEF-4F54-B4F4-97CFBE542CE2}"/>
    <hyperlink ref="D233" r:id="rId373" xr:uid="{64AF03CE-19A8-4AC5-AF86-55D2D106156C}"/>
    <hyperlink ref="D234" r:id="rId374" xr:uid="{6F2FEDCA-9F9D-4ED1-B3D1-E2FE125D5D23}"/>
    <hyperlink ref="D235" r:id="rId375" xr:uid="{66E00D96-E0DC-41CD-86F5-27CF5A76EC34}"/>
    <hyperlink ref="D236" r:id="rId376" xr:uid="{CF08DF04-AA9C-4E65-9F1A-A5B095FE3557}"/>
    <hyperlink ref="D237" r:id="rId377" xr:uid="{3DAC457E-4520-40E3-998D-02A69BBB0F16}"/>
    <hyperlink ref="D238" r:id="rId378" xr:uid="{D293500B-5235-4E72-A4D9-7E436BADC5DA}"/>
    <hyperlink ref="E201" r:id="rId379" xr:uid="{BF157ABF-B9A1-4D6D-A0CC-342A41D41B8A}"/>
    <hyperlink ref="E202" r:id="rId380" xr:uid="{F962B9C0-31BD-40F1-B233-77959D17DEA9}"/>
    <hyperlink ref="E203" r:id="rId381" xr:uid="{6AB12466-807B-4159-8FD3-C1E9FF0ADC1E}"/>
    <hyperlink ref="E204" r:id="rId382" xr:uid="{08210EC8-3A8A-486B-9510-4F25CEFD5094}"/>
    <hyperlink ref="E205" r:id="rId383" xr:uid="{654BE7D9-F8E2-4BB6-A4E5-C4841AF774C6}"/>
    <hyperlink ref="E206" r:id="rId384" xr:uid="{40D955B2-B37A-43EB-96D1-73FBD9892BE8}"/>
    <hyperlink ref="E207" r:id="rId385" xr:uid="{2F989ED0-E921-4243-8C6B-E3FA221279BF}"/>
    <hyperlink ref="E208" r:id="rId386" xr:uid="{273121AA-23C2-468C-8EDB-C856E4C0A319}"/>
    <hyperlink ref="E209" r:id="rId387" xr:uid="{557EC6FF-F8D3-4D84-B269-D067BBFF3410}"/>
    <hyperlink ref="E210" r:id="rId388" xr:uid="{838026C7-D392-4897-AD53-168E700A0A3E}"/>
    <hyperlink ref="E211" r:id="rId389" xr:uid="{A3D2B3A5-1A12-403C-A0C1-E97B40120864}"/>
    <hyperlink ref="E212" r:id="rId390" xr:uid="{10655C44-511B-476F-82A8-6D2DCCA3AD12}"/>
    <hyperlink ref="E217" r:id="rId391" xr:uid="{B5B294C5-2BB1-43B3-9F18-57EC3CD6187F}"/>
    <hyperlink ref="E218" r:id="rId392" xr:uid="{29616D5B-02A9-4C84-80C2-42830BBECB6F}"/>
    <hyperlink ref="E215" r:id="rId393" xr:uid="{74B7F3C1-89BF-4898-9FB2-8ED0FC0749E6}"/>
    <hyperlink ref="E216" r:id="rId394" xr:uid="{2912BA74-EA7D-4682-BBF8-CDC19045D7BC}"/>
    <hyperlink ref="E222" r:id="rId395" xr:uid="{5190D36B-5224-4E40-A402-AEBFB6BC97EE}"/>
    <hyperlink ref="E223" r:id="rId396" xr:uid="{7B4DB3CA-820D-4F13-AC53-9929BE2835E1}"/>
    <hyperlink ref="E219" r:id="rId397" xr:uid="{CE9313D6-3E3A-4E44-8D4A-A30C5C7A62E8}"/>
    <hyperlink ref="E220" r:id="rId398" xr:uid="{4001EC0D-90C2-419D-9D16-4A0B79280D26}"/>
    <hyperlink ref="E221" r:id="rId399" xr:uid="{D0F08214-0B1F-4206-8BBD-D38D10D1E8A6}"/>
    <hyperlink ref="E224" r:id="rId400" xr:uid="{417D950C-E3BE-4C23-8658-6B098335AD7D}"/>
    <hyperlink ref="E225" r:id="rId401" xr:uid="{AF0903A5-7B09-4E41-8F29-26D0499BCA35}"/>
    <hyperlink ref="E226" r:id="rId402" xr:uid="{9DC82E2B-8DAA-4199-A4FF-DCF158ABD0E0}"/>
    <hyperlink ref="E227" r:id="rId403" xr:uid="{6B90D674-4A9F-4B93-8581-70CB78A5E1BB}"/>
    <hyperlink ref="E228" r:id="rId404" xr:uid="{7E7B7FEC-43A6-4BB5-BE82-7B1E01ED52DA}"/>
    <hyperlink ref="E229" r:id="rId405" xr:uid="{394BC0B2-879A-4FED-8A20-FD874F96A848}"/>
    <hyperlink ref="E230" r:id="rId406" xr:uid="{A0B8ECA4-040C-4A28-A9E4-E9929CA1B13D}"/>
    <hyperlink ref="E231" r:id="rId407" xr:uid="{873169D1-B9F7-4F41-AFFF-2C16DAEA429A}"/>
    <hyperlink ref="E232" r:id="rId408" xr:uid="{51031299-F52F-4F27-B23B-D339CDBBAEF4}"/>
    <hyperlink ref="E233" r:id="rId409" xr:uid="{25347817-C2D2-4B59-94AA-3B045C5FCFF2}"/>
    <hyperlink ref="E234" r:id="rId410" xr:uid="{1381944D-A33F-47AE-8F6C-08211E09D06E}"/>
    <hyperlink ref="E235" r:id="rId411" xr:uid="{5B841D14-098D-444C-B968-BE220A9912EB}"/>
    <hyperlink ref="E236" r:id="rId412" xr:uid="{FA921307-841A-41FB-8899-9F15235C909A}"/>
    <hyperlink ref="E237" r:id="rId413" xr:uid="{A94989B3-C294-412C-B657-AE7308C8D048}"/>
    <hyperlink ref="E238" r:id="rId414" xr:uid="{7556FE65-55F6-46AB-BDE1-EC81960B67BE}"/>
    <hyperlink ref="D240" r:id="rId415" xr:uid="{CB83D9A5-A88E-410A-8331-C1AAC8AC44B0}"/>
    <hyperlink ref="D241" r:id="rId416" xr:uid="{82438FE2-8EB9-4686-B596-D9270F035073}"/>
    <hyperlink ref="E240" r:id="rId417" xr:uid="{DF9C1F86-4B68-4B13-BA4B-45B3798FFE41}"/>
    <hyperlink ref="E241" r:id="rId418" xr:uid="{53D153A0-6501-4076-A61C-63B665499F38}"/>
    <hyperlink ref="D242" r:id="rId419" xr:uid="{E08D51FB-9818-490E-86AE-DF87DE078B76}"/>
    <hyperlink ref="E242" r:id="rId420" xr:uid="{354009CB-AD96-45E5-88C3-84A0965F7132}"/>
    <hyperlink ref="D243" r:id="rId421" xr:uid="{BB39E161-30E6-4B3C-97A9-F9DDEA75C3DD}"/>
    <hyperlink ref="E243" r:id="rId422" xr:uid="{A58F4B83-A1FC-40AE-9BF7-775FF15C3AD3}"/>
    <hyperlink ref="D244" r:id="rId423" xr:uid="{0EB49BD6-8098-4A1A-B108-4DDFE0AA2E96}"/>
    <hyperlink ref="E244" r:id="rId424" xr:uid="{1B527758-3C42-4872-B9F7-8718BE0E232D}"/>
    <hyperlink ref="D245" r:id="rId425" xr:uid="{8844AA95-5947-47CE-B7DC-EC572918409C}"/>
    <hyperlink ref="E245" r:id="rId426" xr:uid="{7C97953F-5432-4E0B-9760-F2C8157128FE}"/>
    <hyperlink ref="D247" r:id="rId427" xr:uid="{E51A7551-4CD3-429A-8837-06915B76635C}"/>
    <hyperlink ref="D248" r:id="rId428" xr:uid="{F95DCD93-3AC6-4FC5-8C41-43A71CD47A13}"/>
    <hyperlink ref="D249" r:id="rId429" xr:uid="{DA50A17E-5266-42C1-A804-E76A6383950E}"/>
    <hyperlink ref="D250" r:id="rId430" xr:uid="{0A2BFD29-8B9A-45A7-BD37-5F70814B7C73}"/>
    <hyperlink ref="D251" r:id="rId431" xr:uid="{9AE498FE-4021-4331-A6C2-05762A76A5B5}"/>
    <hyperlink ref="D252" r:id="rId432" xr:uid="{9A95B638-C917-417A-8846-9E846C14EF77}"/>
    <hyperlink ref="D253" r:id="rId433" xr:uid="{9FC3F0A9-C51C-4B9C-BECA-27C87A1F1EED}"/>
    <hyperlink ref="D254" r:id="rId434" xr:uid="{7B2D7BED-5EBB-411F-A086-5388C73A79FB}"/>
    <hyperlink ref="E247" r:id="rId435" xr:uid="{4CD999AA-78F7-4B44-B3FD-4CCED378704A}"/>
    <hyperlink ref="E248" r:id="rId436" xr:uid="{5DB843F9-A8EA-4926-A65E-695380178F30}"/>
    <hyperlink ref="E249" r:id="rId437" xr:uid="{8B84E01A-B721-4428-970D-E93C41131562}"/>
    <hyperlink ref="E250" r:id="rId438" xr:uid="{6C6CFFAE-D5B1-47E2-8C8F-E7462FDE9CFD}"/>
    <hyperlink ref="E251" r:id="rId439" xr:uid="{018FE42B-DB45-4258-8EE2-AD7393B4D0F4}"/>
    <hyperlink ref="E252" r:id="rId440" xr:uid="{A72AF2F6-A823-416F-ADAE-3E6C3E628AA2}"/>
    <hyperlink ref="E253" r:id="rId441" xr:uid="{C9FFD3D2-2230-4DC2-9EEE-A417A2830896}"/>
    <hyperlink ref="E254" r:id="rId442" xr:uid="{DFAB013B-4D29-43E6-8AE4-509C258028D9}"/>
    <hyperlink ref="D256" r:id="rId443" xr:uid="{0F93D9B1-7A01-4583-8195-757D6416C602}"/>
    <hyperlink ref="D257" r:id="rId444" xr:uid="{158165D1-F2E1-4977-9588-DD8C055AE42E}"/>
    <hyperlink ref="D258" r:id="rId445" xr:uid="{925DF788-4BAD-4DF0-B45F-C2E25AD333C1}"/>
    <hyperlink ref="D259" r:id="rId446" xr:uid="{DFB5648A-7D34-4A3C-BDF7-4750699960BC}"/>
    <hyperlink ref="D260" r:id="rId447" xr:uid="{3333C5C4-FAE6-4E2F-BB5D-4502C3A08C15}"/>
    <hyperlink ref="D261" r:id="rId448" xr:uid="{2D5B156A-A256-4BEA-9141-A418D56C5D92}"/>
    <hyperlink ref="D262" r:id="rId449" xr:uid="{213AF696-95C9-4043-9085-63839602029A}"/>
    <hyperlink ref="E256" r:id="rId450" xr:uid="{8D886946-4687-4040-BA2B-E224249E4FEC}"/>
    <hyperlink ref="E257" r:id="rId451" xr:uid="{23B04E58-8E20-4007-917D-9682D63F64A5}"/>
    <hyperlink ref="E258" r:id="rId452" xr:uid="{86E715B0-C168-4802-B50F-AF1EF049421C}"/>
    <hyperlink ref="E259" r:id="rId453" xr:uid="{36FE5A4B-79D5-422F-9FA5-35E4ED63BE7E}"/>
    <hyperlink ref="E260" r:id="rId454" xr:uid="{372AB026-0BC3-41EC-84C3-7E6D190A0F1D}"/>
    <hyperlink ref="E261" r:id="rId455" xr:uid="{CE45CC2F-F46B-4EA8-AB40-BD45D2E1D3E7}"/>
    <hyperlink ref="E262" r:id="rId456" xr:uid="{9C3A812D-E995-4B21-91BB-C8DC1CE6990A}"/>
    <hyperlink ref="D264" r:id="rId457" xr:uid="{E4BAD8D7-A487-4EBE-B1BC-79E3FF4445B8}"/>
    <hyperlink ref="D265" r:id="rId458" xr:uid="{F7729BF5-F7D9-497B-AD1B-75D13DE63E50}"/>
    <hyperlink ref="D266" r:id="rId459" xr:uid="{765DCD29-1D6E-4A1D-8673-48EBEF6D310B}"/>
    <hyperlink ref="D267" r:id="rId460" xr:uid="{0D08E2ED-F12E-4C30-9BFF-C937557E35F0}"/>
    <hyperlink ref="D268" r:id="rId461" xr:uid="{5DE02F75-1BA2-4390-95CF-FB66A4F76F2B}"/>
    <hyperlink ref="E264" r:id="rId462" xr:uid="{333C71B6-5377-4FF0-BB06-2642D02E627F}"/>
    <hyperlink ref="E265" r:id="rId463" xr:uid="{AB8C6E32-33CE-4664-BAD5-C8B5A9CA1C92}"/>
    <hyperlink ref="E266" r:id="rId464" xr:uid="{7572609D-8228-480A-9B10-832DEE90FC99}"/>
    <hyperlink ref="E267" r:id="rId465" xr:uid="{2CF27405-5D8E-492C-B5EE-735AD8CEC0A4}"/>
    <hyperlink ref="E268" r:id="rId466" xr:uid="{1AD210C9-7B4B-4E67-8E4A-630711EEBC41}"/>
    <hyperlink ref="D272" r:id="rId467" xr:uid="{50982320-DAA2-429B-A4B5-0C2E02B3B31A}"/>
    <hyperlink ref="D273" r:id="rId468" xr:uid="{1B16013C-23DB-43B8-BBC6-661D8B63477A}"/>
    <hyperlink ref="D274" r:id="rId469" xr:uid="{5BF0B287-14EE-4EBE-99C0-A5195BD1E270}"/>
    <hyperlink ref="D275" r:id="rId470" xr:uid="{31F34A1D-0AF7-4E7E-BB1E-200052E607F9}"/>
    <hyperlink ref="D276" r:id="rId471" xr:uid="{2AA3C8F9-44FF-4F6E-8427-12DF00F07278}"/>
    <hyperlink ref="D277" r:id="rId472" xr:uid="{576E8960-7CCA-40C1-BBF8-478E46969EB2}"/>
    <hyperlink ref="D278" r:id="rId473" xr:uid="{43BA6D2A-9E3C-4A6C-99E9-33473A3CB9AB}"/>
    <hyperlink ref="D279" r:id="rId474" xr:uid="{2E943B97-A1A3-42C0-BFBD-FB49AE3BD2F4}"/>
    <hyperlink ref="D280" r:id="rId475" xr:uid="{451648C9-7205-4471-BB82-6C5A5392ABDE}"/>
    <hyperlink ref="D281" r:id="rId476" xr:uid="{20181766-9823-4FCE-9423-17A97CC6BCA5}"/>
    <hyperlink ref="D270" r:id="rId477" xr:uid="{E1F5B23A-5629-477F-BA60-2FE4EEFFFE59}"/>
    <hyperlink ref="D271" r:id="rId478" xr:uid="{FD141B04-06EA-4742-9812-6552356B5434}"/>
    <hyperlink ref="D282" r:id="rId479" xr:uid="{24690AAF-8B29-4E41-8669-9436E0D4CE40}"/>
    <hyperlink ref="D283" r:id="rId480" xr:uid="{A0A45BAB-C6F6-4921-BCCA-C3F585265F7C}"/>
    <hyperlink ref="D284" r:id="rId481" xr:uid="{95C5B2B6-CA54-47FD-8E83-837F7F0E3BBF}"/>
    <hyperlink ref="D285" r:id="rId482" xr:uid="{1BC059DD-EE24-49DF-9B5B-7418FE86FEB1}"/>
    <hyperlink ref="D286" r:id="rId483" xr:uid="{8BBEB38B-8BD9-4032-B95D-A68A9A77F28B}"/>
    <hyperlink ref="D287" r:id="rId484" xr:uid="{69FD3204-F847-4610-9442-2B0985BCFB8D}"/>
    <hyperlink ref="D288" r:id="rId485" xr:uid="{55A48F8C-F87F-46B1-8586-C8C6BFD68A1C}"/>
    <hyperlink ref="D289" r:id="rId486" xr:uid="{1E774F08-99EB-4813-A913-4364D2EE6B0D}"/>
    <hyperlink ref="D290" r:id="rId487" xr:uid="{37DE6D38-25D1-410B-9960-97820144B816}"/>
    <hyperlink ref="D291" r:id="rId488" xr:uid="{7E894836-25D3-4289-8CB3-C19D46C1C953}"/>
    <hyperlink ref="D292" r:id="rId489" xr:uid="{EB2EF582-3BEA-40C0-B33A-94277150B512}"/>
    <hyperlink ref="D293" r:id="rId490" xr:uid="{C5D875E7-1507-4E8C-ADF9-975721FBC232}"/>
    <hyperlink ref="D294" r:id="rId491" xr:uid="{164D96D9-3D05-46E7-A319-0A1BDB2742F2}"/>
    <hyperlink ref="D295" r:id="rId492" xr:uid="{7B3DE367-61AC-44E7-9E36-417A2BE8C64E}"/>
    <hyperlink ref="D296" r:id="rId493" xr:uid="{91DFB50B-BF96-4636-90D7-74EC3A48D36D}"/>
    <hyperlink ref="D297" r:id="rId494" xr:uid="{E11948D6-1C21-42BA-BCA9-B00AE25F1250}"/>
    <hyperlink ref="D298" r:id="rId495" xr:uid="{7B396E22-2D79-48EA-824D-0E34F7112310}"/>
    <hyperlink ref="D299" r:id="rId496" xr:uid="{D2ACA8F0-1329-4681-893A-66202E825D7C}"/>
    <hyperlink ref="D300" r:id="rId497" xr:uid="{27ED2716-20F7-4D20-B481-BF3AB3CDF9A0}"/>
    <hyperlink ref="D302" r:id="rId498" xr:uid="{7105EF9B-C295-4FAC-BE27-E7D80761CC2E}"/>
    <hyperlink ref="E272" r:id="rId499" xr:uid="{89BE769C-5633-4225-9AE3-C80B7D98C4E4}"/>
    <hyperlink ref="E273" r:id="rId500" xr:uid="{4276FB40-8941-41C6-9D7F-48F4989E61F4}"/>
    <hyperlink ref="E274" r:id="rId501" xr:uid="{B837B0AE-55D4-4752-A25C-6348884504D6}"/>
    <hyperlink ref="E275" r:id="rId502" xr:uid="{601EC8F0-8301-487F-93AC-693E4003C24D}"/>
    <hyperlink ref="E276" r:id="rId503" xr:uid="{2CFB2884-0DDB-4B09-8C13-6AB75C6FDBDF}"/>
    <hyperlink ref="E277" r:id="rId504" xr:uid="{FDEFDA45-493A-4CC0-BD40-48D325D2D872}"/>
    <hyperlink ref="E278" r:id="rId505" xr:uid="{3489BEB8-D5B9-4D8A-B072-8F00BEAFCA71}"/>
    <hyperlink ref="E279" r:id="rId506" xr:uid="{CF30912B-E82C-444E-A3F9-C65FEFDBEE8F}"/>
    <hyperlink ref="E280" r:id="rId507" xr:uid="{34E16DAE-D25A-4855-9E81-44EC82A39D6E}"/>
    <hyperlink ref="E281" r:id="rId508" xr:uid="{5CB0B09F-CFEB-4BD6-A100-476F68E662E9}"/>
    <hyperlink ref="E270" r:id="rId509" xr:uid="{374227FF-76E0-489B-9224-0E687292EC16}"/>
    <hyperlink ref="E271" r:id="rId510" xr:uid="{DFC5EDB4-694C-4A48-82F2-C5DCC127C28C}"/>
    <hyperlink ref="E282" r:id="rId511" xr:uid="{7AC1DEDF-C8E8-4ABD-A049-9DA189E69188}"/>
    <hyperlink ref="E283" r:id="rId512" xr:uid="{0DBEFBE4-71CF-4175-B173-60DB6FDE4D27}"/>
    <hyperlink ref="E284" r:id="rId513" xr:uid="{E15E2D9D-A879-40A7-B50C-C4084195AF50}"/>
    <hyperlink ref="E285" r:id="rId514" xr:uid="{5E13388A-54B3-4DEA-9632-BDB2B559642E}"/>
    <hyperlink ref="E286" r:id="rId515" xr:uid="{C706F1E8-D721-4A0C-96FA-5A9AA4B006A9}"/>
    <hyperlink ref="E287" r:id="rId516" xr:uid="{DCAC2235-0768-4CB6-9AEF-901EFA23C4F0}"/>
    <hyperlink ref="E288" r:id="rId517" xr:uid="{45EE8429-3D38-47BB-9C46-49F8CFFF6970}"/>
    <hyperlink ref="E289" r:id="rId518" xr:uid="{16DF5776-2A17-4318-B6F0-8A6885E35B47}"/>
    <hyperlink ref="E290" r:id="rId519" xr:uid="{AD5F1380-1C63-4613-A679-4C25F7C97ABA}"/>
    <hyperlink ref="E291" r:id="rId520" xr:uid="{87121B98-A407-4776-997D-673EC7082540}"/>
    <hyperlink ref="E292" r:id="rId521" xr:uid="{BDE20B0F-6E49-442F-98E6-E17919ED48ED}"/>
    <hyperlink ref="E293" r:id="rId522" xr:uid="{EB14AF25-DC23-4721-89CD-944D7FA06B98}"/>
    <hyperlink ref="E294" r:id="rId523" xr:uid="{2F04CF83-0377-402B-A977-02225B2D60D5}"/>
    <hyperlink ref="E295" r:id="rId524" xr:uid="{94F328E9-3359-4672-A986-271747F51B2F}"/>
    <hyperlink ref="E296" r:id="rId525" xr:uid="{AE363556-66ED-4C93-BD0A-66D05B5DF6E5}"/>
    <hyperlink ref="E297" r:id="rId526" xr:uid="{A01E93E1-846D-4128-9DB6-4DC101D1EE82}"/>
    <hyperlink ref="E298" r:id="rId527" xr:uid="{8154EB1D-F0C6-4053-8A1E-82E3577B505F}"/>
    <hyperlink ref="E299" r:id="rId528" xr:uid="{5BB0D3FC-4FF2-4346-A934-0DE03104694A}"/>
    <hyperlink ref="E300" r:id="rId529" xr:uid="{7C53C9B7-A8F6-43A7-B4AC-7B0B605B6EC3}"/>
    <hyperlink ref="E302" r:id="rId530" xr:uid="{B5775964-AA3E-454D-9FA7-679CBE7B15B4}"/>
    <hyperlink ref="D304" r:id="rId531" xr:uid="{C2C0EC27-38A8-46D9-9E25-73DE0AF0DD5D}"/>
    <hyperlink ref="D305" r:id="rId532" xr:uid="{F3601384-D796-4D32-83CF-BBDAE9E1A15E}"/>
    <hyperlink ref="E304" r:id="rId533" xr:uid="{6CFB1730-5275-4194-9F6B-304AB7F6F535}"/>
    <hyperlink ref="E305" r:id="rId534" xr:uid="{18DC6F8C-5EEA-4E50-ACB8-DA293CFEC94B}"/>
    <hyperlink ref="D307" r:id="rId535" xr:uid="{79B3517F-96B4-4271-A4CE-E3FD78948D13}"/>
    <hyperlink ref="E307" r:id="rId536" xr:uid="{3B58814E-E836-4D78-B997-C2221F7D06D8}"/>
    <hyperlink ref="D308" r:id="rId537" xr:uid="{A3CBFC0C-C32B-4514-A8DC-F6A3E282298D}"/>
    <hyperlink ref="D309" r:id="rId538" xr:uid="{72E36C80-2B5D-4175-A097-7435BEF62EB5}"/>
    <hyperlink ref="D310" r:id="rId539" xr:uid="{C5B08469-1FFC-4396-940F-BC97AFEFE0CC}"/>
    <hyperlink ref="D311" r:id="rId540" xr:uid="{E2670B51-FB3A-4B8E-89C7-8F7C981E81E1}"/>
    <hyperlink ref="D312" r:id="rId541" xr:uid="{F71B3319-5CFD-4F62-A5CE-5F6CF6071AD3}"/>
    <hyperlink ref="D313" r:id="rId542" xr:uid="{3FD0E2B0-09B3-4BE6-94BC-A68459B0121C}"/>
    <hyperlink ref="E308" r:id="rId543" xr:uid="{8E8749BE-33F0-458A-8BD5-FC56E68383DC}"/>
    <hyperlink ref="E309" r:id="rId544" xr:uid="{4F7754EC-57F1-4D2C-878F-7D174ED03045}"/>
    <hyperlink ref="E310" r:id="rId545" xr:uid="{4DD7FA7E-2D79-45B0-93B8-5D2C31DC82AA}"/>
    <hyperlink ref="E311" r:id="rId546" xr:uid="{88BA282A-759C-4405-B8A8-47BDBD44CD42}"/>
    <hyperlink ref="E312" r:id="rId547" xr:uid="{CADCD515-DA2C-4A2C-8864-4F73AD908FF0}"/>
    <hyperlink ref="E313" r:id="rId548" xr:uid="{B56A87CB-49DE-4FEF-8E30-9E1919068129}"/>
    <hyperlink ref="D314" r:id="rId549" xr:uid="{0539985F-858A-4CF7-9468-4B6DC1ABE35E}"/>
    <hyperlink ref="E314" r:id="rId550" xr:uid="{FEF2A565-1225-4684-8A5D-9622FE26B77C}"/>
    <hyperlink ref="D315" r:id="rId551" xr:uid="{A3BA4692-A910-42C8-B308-4FAFBE60C3DF}"/>
    <hyperlink ref="D316" r:id="rId552" xr:uid="{F20DB246-C829-4459-8C97-D76727EC3357}"/>
    <hyperlink ref="D317" r:id="rId553" xr:uid="{42D20640-1071-4D76-8FB9-747F09465373}"/>
    <hyperlink ref="D318" r:id="rId554" xr:uid="{03C2FF89-14BD-44AC-9ECA-74ABFE2B534E}"/>
    <hyperlink ref="D319" r:id="rId555" xr:uid="{AF35BD87-2DE6-4C62-937B-6D29EEF78FA8}"/>
    <hyperlink ref="D320" r:id="rId556" xr:uid="{71219A7F-16E8-43FD-AFF0-E5AF260CFCF6}"/>
    <hyperlink ref="D321" r:id="rId557" xr:uid="{32C8B487-78D5-4366-B3AD-FAA33BCBE28E}"/>
    <hyperlink ref="D322" r:id="rId558" xr:uid="{B77CF656-C41E-4007-9D3E-B09236286FB3}"/>
    <hyperlink ref="D323" r:id="rId559" xr:uid="{99923030-7CD4-4C22-BEC7-D49ECE5789AA}"/>
    <hyperlink ref="D324" r:id="rId560" xr:uid="{BF3E75D3-8674-40C7-9ED5-E1A8AFC8AC0F}"/>
    <hyperlink ref="D325" r:id="rId561" xr:uid="{208348C5-BB67-465C-9986-489639AB3FEF}"/>
    <hyperlink ref="D326" r:id="rId562" xr:uid="{9B57F740-9C8A-4B23-A67C-B80102C888FE}"/>
    <hyperlink ref="D327" r:id="rId563" xr:uid="{56C5D472-2EBC-4801-BBE9-BB3CA6910723}"/>
    <hyperlink ref="D328" r:id="rId564" xr:uid="{CA3023CE-DF9C-4380-8C70-DF2107CBDB5F}"/>
    <hyperlink ref="D329" r:id="rId565" xr:uid="{EAE74BA4-656A-406D-BA00-5E8BBA2708FF}"/>
    <hyperlink ref="D330" r:id="rId566" xr:uid="{752C1C7C-4A95-4835-B308-407E8A61ED95}"/>
    <hyperlink ref="D331" r:id="rId567" xr:uid="{A5C37EFB-D6AA-4465-B431-AC6D03B42223}"/>
    <hyperlink ref="D332" r:id="rId568" xr:uid="{25817134-F4DA-4392-B2A7-7C27D6351A10}"/>
    <hyperlink ref="D333" r:id="rId569" xr:uid="{3D352D00-AF2A-47F3-A291-1FEB7CD6CB20}"/>
    <hyperlink ref="E315" r:id="rId570" xr:uid="{F636CC6E-E6B7-4770-A44D-142CC585CB66}"/>
    <hyperlink ref="E316" r:id="rId571" xr:uid="{833C1F87-483C-463F-83FB-EE7C47727457}"/>
    <hyperlink ref="E317" r:id="rId572" xr:uid="{E93A790E-9862-493C-8A94-8CB1977E051C}"/>
    <hyperlink ref="E318" r:id="rId573" xr:uid="{764E9B60-C731-41C6-8407-E3F7BCE921AE}"/>
    <hyperlink ref="E319" r:id="rId574" xr:uid="{24B26D81-4BA2-4B06-BFB1-C186CDF25421}"/>
    <hyperlink ref="E320" r:id="rId575" xr:uid="{763F5AE1-9B84-49B7-8BAA-8CC0078AA546}"/>
    <hyperlink ref="E321" r:id="rId576" xr:uid="{C64BD5B2-28A0-4C04-97BC-E03D2E904FC0}"/>
    <hyperlink ref="E322" r:id="rId577" xr:uid="{8F9BDBB4-5481-4331-8EA7-A2EE1ECB0F46}"/>
    <hyperlink ref="E323" r:id="rId578" xr:uid="{E2DEA55D-635A-4372-83A2-A95E6010F4D0}"/>
    <hyperlink ref="E324" r:id="rId579" xr:uid="{1743DFCD-0AE4-4B1C-8A4C-EF2213C07496}"/>
    <hyperlink ref="E325" r:id="rId580" xr:uid="{28A1580B-740D-406B-9960-2197B3F36465}"/>
    <hyperlink ref="E326" r:id="rId581" xr:uid="{2A6040AC-703B-49C5-A023-44E014BE5D9F}"/>
    <hyperlink ref="E327" r:id="rId582" xr:uid="{397E7657-D6F6-46C6-B0B7-5E6645F6735D}"/>
    <hyperlink ref="E328" r:id="rId583" xr:uid="{779044AF-46A9-4F81-B43F-BD32B4373829}"/>
    <hyperlink ref="E329" r:id="rId584" xr:uid="{54AFFC2A-CB48-4740-8B9C-5CA13844E261}"/>
    <hyperlink ref="E330" r:id="rId585" xr:uid="{D8FAF12A-2119-4CB7-BC21-9F82EDC46EC5}"/>
    <hyperlink ref="E331" r:id="rId586" xr:uid="{CE65A86B-52AE-4ECD-A1D4-0795A036E0C8}"/>
    <hyperlink ref="E332" r:id="rId587" xr:uid="{BA15008F-9690-4F9C-9148-57CD1050FD0F}"/>
    <hyperlink ref="E333" r:id="rId588" xr:uid="{00758684-CC17-45D1-A6C4-BEF76D8EC8F7}"/>
    <hyperlink ref="D334" r:id="rId589" xr:uid="{4BE2443D-48F7-4588-B8A0-28B12DD7012A}"/>
    <hyperlink ref="E334" r:id="rId590" xr:uid="{CA65BB44-501C-4C11-B7CE-D3AF4A288CE4}"/>
    <hyperlink ref="D335" r:id="rId591" xr:uid="{3031C7CD-62A3-4AE9-90E7-2DAD9E626EA5}"/>
    <hyperlink ref="E335" r:id="rId592" xr:uid="{65DCF00C-75B6-42E0-9E8C-A4957D45B633}"/>
    <hyperlink ref="D336" r:id="rId593" xr:uid="{53F6DB3A-BCE6-4EBB-8AB0-054A7DD68AE5}"/>
    <hyperlink ref="D337" r:id="rId594" xr:uid="{11E0E51B-7C6C-449E-9C0B-6966CAEA845A}"/>
    <hyperlink ref="D338" r:id="rId595" xr:uid="{2F4BFE11-3DF0-4DE0-B9EB-C66166091FA8}"/>
    <hyperlink ref="D339" r:id="rId596" xr:uid="{D259FA0C-02E7-4E98-B878-FF53C673182D}"/>
    <hyperlink ref="E336" r:id="rId597" xr:uid="{598B0920-7359-4A8E-9A86-D1293E0F0D4E}"/>
    <hyperlink ref="E337" r:id="rId598" xr:uid="{949E7F82-4B62-45C0-9713-A197EAB80EED}"/>
    <hyperlink ref="E338" r:id="rId599" xr:uid="{3AF64CC3-8285-41B1-9687-B0EDD1133933}"/>
    <hyperlink ref="E339" r:id="rId600" xr:uid="{66F8719C-048C-43EF-B6BA-F3E303C83D57}"/>
    <hyperlink ref="D340" r:id="rId601" xr:uid="{99DD5C48-5482-4681-988E-493BB950389D}"/>
    <hyperlink ref="E340" r:id="rId602" xr:uid="{1350DBFA-9BD7-491F-A6D6-4F97D0548DA0}"/>
    <hyperlink ref="D341" r:id="rId603" xr:uid="{3D11895E-DBD1-4AE4-A489-9E1E4FA525AB}"/>
    <hyperlink ref="E341" r:id="rId604" xr:uid="{820814D1-1AC0-4F73-B9D3-B77493E62B30}"/>
    <hyperlink ref="D343" r:id="rId605" xr:uid="{3B4311C6-0FA4-4B27-9044-891665ADE315}"/>
    <hyperlink ref="D344" r:id="rId606" xr:uid="{59D95CDE-89A5-4306-9C8B-978ADF1DF167}"/>
    <hyperlink ref="D345" r:id="rId607" xr:uid="{C6D6DAF2-A126-4254-A4AA-7375A04E846E}"/>
    <hyperlink ref="D346" r:id="rId608" xr:uid="{12BB7F37-1436-43D6-9380-CE13532C6425}"/>
    <hyperlink ref="D347" r:id="rId609" xr:uid="{760B1748-38C8-48D3-8283-188A8FA2655B}"/>
    <hyperlink ref="D348" r:id="rId610" xr:uid="{FE13B740-8BA3-476E-8A02-AE6CBAEDDE70}"/>
    <hyperlink ref="D349" r:id="rId611" xr:uid="{1E40C19C-6C77-4821-BA69-514B4805A18D}"/>
    <hyperlink ref="D350" r:id="rId612" xr:uid="{B920BA25-DBF3-463D-BA25-2607579D24EE}"/>
    <hyperlink ref="D351" r:id="rId613" xr:uid="{66275E0D-7C2B-46DF-9379-89AA9C063A8E}"/>
    <hyperlink ref="E343" r:id="rId614" xr:uid="{199939D1-D652-40C0-83AD-614D6E637E64}"/>
    <hyperlink ref="E344" r:id="rId615" xr:uid="{54DA619A-0138-4B0B-8D94-F87A47567797}"/>
    <hyperlink ref="E345" r:id="rId616" xr:uid="{596E3CE5-7B47-49CD-8723-70E5DDFEC8FB}"/>
    <hyperlink ref="E346" r:id="rId617" xr:uid="{306AC629-12A8-4174-B3D0-7106919C4C45}"/>
    <hyperlink ref="E347" r:id="rId618" xr:uid="{68B14A24-C592-4026-8514-63F8FE9BFC52}"/>
    <hyperlink ref="E348" r:id="rId619" xr:uid="{32235719-E912-404A-A590-AF3DEA42D02D}"/>
    <hyperlink ref="E349" r:id="rId620" xr:uid="{7E6395D4-8EE9-4EB4-BCB0-48B92BD8BF44}"/>
    <hyperlink ref="E350" r:id="rId621" xr:uid="{94B8BFCE-258B-40EB-810B-B3AAA72A4BD7}"/>
    <hyperlink ref="E351" r:id="rId622" xr:uid="{B3DBE368-83DB-4221-8224-2DE61510A645}"/>
    <hyperlink ref="D353" r:id="rId623" xr:uid="{2A78CE16-DE19-4AC3-8146-CC4F63C5AFB1}"/>
    <hyperlink ref="D354" r:id="rId624" xr:uid="{E78213F8-1CD2-48ED-AD50-4E6FE88B11B6}"/>
    <hyperlink ref="D355" r:id="rId625" xr:uid="{1702998A-557E-4892-A627-A92B6CC20CD3}"/>
    <hyperlink ref="D356" r:id="rId626" xr:uid="{9410C0A4-4188-4307-9EAF-DD9434D45D11}"/>
    <hyperlink ref="D357" r:id="rId627" xr:uid="{66BA944B-7887-4F3D-8A54-142342051688}"/>
    <hyperlink ref="D358" r:id="rId628" xr:uid="{286018AC-326D-4222-97ED-1A4FA78629C0}"/>
    <hyperlink ref="D359" r:id="rId629" xr:uid="{3B8738E5-D1C0-4A6E-A625-4CF5E7A8AEAA}"/>
    <hyperlink ref="D360" r:id="rId630" xr:uid="{E1CCE92F-DA97-400D-B3D9-0CDF9743174A}"/>
    <hyperlink ref="D361" r:id="rId631" xr:uid="{459D0B5A-6EB3-460A-956F-2D0A032DDDA1}"/>
    <hyperlink ref="D362" r:id="rId632" xr:uid="{F562E96D-0BA4-494A-BECC-A524F84848D6}"/>
    <hyperlink ref="D363" r:id="rId633" xr:uid="{03217B59-228A-42BB-BDA2-EF89DFBB034C}"/>
    <hyperlink ref="E353" r:id="rId634" xr:uid="{F55765FD-6C5F-41B8-B796-20907576CE95}"/>
    <hyperlink ref="E354" r:id="rId635" xr:uid="{F28BE85F-F0F7-4D83-937D-764AD5442F34}"/>
    <hyperlink ref="E355" r:id="rId636" xr:uid="{0FA462F4-9961-42D7-B601-AEE57D108BA1}"/>
    <hyperlink ref="E356" r:id="rId637" xr:uid="{56501CB0-2DB0-47F9-848B-0BBFDEB43E2D}"/>
    <hyperlink ref="E357" r:id="rId638" xr:uid="{6E2DE899-B7AA-4D1E-AF8D-8EFC2D2A7DB3}"/>
    <hyperlink ref="E358" r:id="rId639" xr:uid="{0E62F6FF-883F-499D-84D8-BA2C6807BBBC}"/>
    <hyperlink ref="E359" r:id="rId640" xr:uid="{37170D2D-C6F3-456F-A274-965B94BB38A6}"/>
    <hyperlink ref="E360" r:id="rId641" xr:uid="{9D5DFB96-01BF-41A0-870D-9C1EDEB48620}"/>
    <hyperlink ref="E361" r:id="rId642" xr:uid="{F73D86C8-6034-415D-A8D4-9B407A1ED9D6}"/>
    <hyperlink ref="E362" r:id="rId643" xr:uid="{F44BFA6E-738F-4A9E-9E0C-BEACADBEE97E}"/>
    <hyperlink ref="E363" r:id="rId644" xr:uid="{28FC9A3D-47CB-4B6C-9F7B-895B4E21EFBE}"/>
    <hyperlink ref="D365" r:id="rId645" xr:uid="{6D1F1BF1-C65A-46DD-81AF-7B746AE4DBC2}"/>
    <hyperlink ref="D366" r:id="rId646" xr:uid="{7E859A88-5172-459B-BE3E-7F49D9453D90}"/>
    <hyperlink ref="E365" r:id="rId647" xr:uid="{AE3D49E1-6A80-4C51-BE96-C94FF48864E5}"/>
    <hyperlink ref="E366" r:id="rId648" xr:uid="{9A00079E-03CC-47FC-B463-A2ADF3CCD43D}"/>
    <hyperlink ref="D368" r:id="rId649" xr:uid="{814BBAF1-F71F-4CDC-9103-428CBDDA6833}"/>
    <hyperlink ref="E368" r:id="rId650" xr:uid="{7787222D-2D36-4372-A54E-4C9D1BDC36B2}"/>
    <hyperlink ref="D369" r:id="rId651" xr:uid="{E5C3DB24-E17F-469E-A82C-5A87F1EE6078}"/>
    <hyperlink ref="E369" r:id="rId652" xr:uid="{103D9227-6232-4358-872E-FA2076A793A2}"/>
    <hyperlink ref="D371" r:id="rId653" xr:uid="{754F1C1C-F8D6-4C62-9197-CAFFE377A73A}"/>
    <hyperlink ref="D372" r:id="rId654" xr:uid="{CAA484F7-7ACC-4B72-8D95-5AA1188790FD}"/>
    <hyperlink ref="D373" r:id="rId655" xr:uid="{1F291263-BBB4-48F3-87C4-7686056B3EF1}"/>
    <hyperlink ref="D374" r:id="rId656" xr:uid="{27574278-2EDD-4CC0-B1BF-53263AB772E1}"/>
    <hyperlink ref="D375" r:id="rId657" xr:uid="{9F4327AD-F1B9-464F-9C3C-AFA1425AD81D}"/>
    <hyperlink ref="D376" r:id="rId658" xr:uid="{C2D79F1D-BFC2-4D0B-86A6-BA19BA1098AA}"/>
    <hyperlink ref="D377" r:id="rId659" xr:uid="{4DAACEAE-E5D6-4E97-B247-944EFFC601BC}"/>
    <hyperlink ref="E371" r:id="rId660" xr:uid="{C2D618B8-093F-420A-AB4F-244ACE63471A}"/>
    <hyperlink ref="E372" r:id="rId661" xr:uid="{ABE4C715-71B2-4846-BF96-D10AA797CC2C}"/>
    <hyperlink ref="E373" r:id="rId662" xr:uid="{95D6A3D9-F5E4-4669-B494-E59603485E41}"/>
    <hyperlink ref="E374" r:id="rId663" xr:uid="{A63AC438-50D0-4F16-9A4D-0974A0087061}"/>
    <hyperlink ref="E375" r:id="rId664" xr:uid="{D6D93CE1-45FB-486C-B24E-FC46118654E3}"/>
    <hyperlink ref="E376" r:id="rId665" xr:uid="{8157AFED-71F1-4E33-990F-7D45948A59E7}"/>
    <hyperlink ref="E377" r:id="rId666" xr:uid="{00CF56B3-3E5D-406A-83FE-B760DBA81A2F}"/>
  </hyperlinks>
  <pageMargins left="0.7" right="0.7" top="0.75" bottom="0.75" header="0.3" footer="0.3"/>
  <pageSetup paperSize="9" orientation="portrait" horizontalDpi="0" verticalDpi="0" r:id="rId66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Конфигуратор</vt:lpstr>
      <vt:lpstr>Спецификация</vt:lpstr>
      <vt:lpstr>Прайс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Лоншаков</dc:creator>
  <cp:lastModifiedBy>Кокорев Иван Александрович</cp:lastModifiedBy>
  <dcterms:created xsi:type="dcterms:W3CDTF">2024-12-26T11:57:52Z</dcterms:created>
  <dcterms:modified xsi:type="dcterms:W3CDTF">2025-01-30T12:59:23Z</dcterms:modified>
</cp:coreProperties>
</file>